
<file path=[Content_Types].xml><?xml version="1.0" encoding="utf-8"?>
<Types xmlns="http://schemas.openxmlformats.org/package/2006/content-types">
  <Default Extension="xml" ContentType="application/xml"/>
  <Default Extension="vml" ContentType="application/vnd.openxmlformats-officedocument.vmlDrawing"/>
  <Default Extension="jpeg" ContentType="image/jpeg"/>
  <Default Extension="JPG" ContentType="image/.jpg"/>
  <Default Extension="gif" ContentType="image/gif"/>
  <Default Extension="png" ContentType="image/p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trlProps/ctrlProp1.xml" ContentType="application/vnd.ms-excel.control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workbookProtection workbookAlgorithmName="SHA-512" workbookHashValue="tJMU8R9c0VKfb39+SPkKNlIuE1NSdkH4aIQIFDLp6r4LoBn3G/n1Yo3CPawD1hQFg/hK8GKi2GRiQ0bCWoyAQw==" workbookSaltValue="6RbOUe9274EjTZSL04n8Rg==" workbookSpinCount="100000" lockStructure="1"/>
  <bookViews>
    <workbookView windowWidth="27945" windowHeight="12300"/>
  </bookViews>
  <sheets>
    <sheet name="Design Converter" sheetId="1" r:id="rId1"/>
    <sheet name="Licenses" sheetId="10" r:id="rId2"/>
    <sheet name="Variable_Management" sheetId="2" state="hidden" r:id="rId3"/>
    <sheet name="Eff_vs_IOUT" sheetId="4" state="hidden" r:id="rId4"/>
    <sheet name="Loop_Modeling" sheetId="5" state="hidden" r:id="rId5"/>
    <sheet name="Constants" sheetId="3" state="hidden" r:id="rId6"/>
    <sheet name="Plot_Management_Eff" sheetId="6" state="hidden" r:id="rId7"/>
    <sheet name="Plot_Management_Sch" sheetId="7" state="hidden" r:id="rId8"/>
    <sheet name="Lists" sheetId="8" state="hidden" r:id="rId9"/>
  </sheets>
  <definedNames>
    <definedName name="Acs">Constants!$B$30</definedName>
    <definedName name="Adc">Loop_Modeling!$B$34</definedName>
    <definedName name="Adc_ea">Loop_Modeling!$B$58</definedName>
    <definedName name="ADC_VINmin">Variable_Management!$B$178</definedName>
    <definedName name="Cac">Variable_Management!$B$132</definedName>
    <definedName name="Cac_min">Variable_Management!$B$131</definedName>
    <definedName name="CCOMP">Variable_Management!$B$238</definedName>
    <definedName name="CCOMP_Calc">Variable_Management!$B$237</definedName>
    <definedName name="CCOMP_calc_CCM">Variable_Management!$B$207</definedName>
    <definedName name="CCOMP_CALC_DCM">Variable_Management!$B$228</definedName>
    <definedName name="CHF">Variable_Management!$B$240</definedName>
    <definedName name="CHF_calc">Variable_Management!$B$239</definedName>
    <definedName name="CHF_CALC_CCM">Variable_Management!$B$208</definedName>
    <definedName name="CHF_CALC_DCM">Variable_Management!$B$229</definedName>
    <definedName name="Comp_calc_CCM">Variable_Management!$B$207</definedName>
    <definedName name="Cout">Variable_Management!$B$144</definedName>
    <definedName name="Cout_min">Variable_Management!$B$142</definedName>
    <definedName name="D_limit_max">Constants!$B$18</definedName>
    <definedName name="D_limit_min">Constants!$B$16</definedName>
    <definedName name="D_limit_nom">Constants!$B$17</definedName>
    <definedName name="DC_DCM_max">Variable_Management!$B$32</definedName>
    <definedName name="Dc_max_IC">Variable_Management!$B$20</definedName>
    <definedName name="Dc_max_ideal">Variable_Management!$A$19</definedName>
    <definedName name="DC_rip">Variable_Management!#REF!</definedName>
    <definedName name="Dc_rip_max">Variable_Management!#REF!</definedName>
    <definedName name="Dc_VIN_max">Variable_Management!$B$87</definedName>
    <definedName name="Dc_VIN_min">Variable_Management!$B$53</definedName>
    <definedName name="Dc_VIN_nom">Variable_Management!$B$70</definedName>
    <definedName name="DC_VIN_Var">Loop_Modeling!$B$18</definedName>
    <definedName name="DC_VIN_var_DCM">Loop_Modeling!$B$66</definedName>
    <definedName name="EFF_est">Variable_Management!$B$17</definedName>
    <definedName name="Eff_vs_IOUT">Plot_Management_Eff!$C$3</definedName>
    <definedName name="fcross">Variable_Management!$B$233</definedName>
    <definedName name="fcross_est">Variable_Management!$B$232</definedName>
    <definedName name="fp_ea_est">Variable_Management!$B$202</definedName>
    <definedName name="Fsw">Variable_Management!$B$10</definedName>
    <definedName name="fz_ea_est">Variable_Management!$B$201</definedName>
    <definedName name="fz_rhp">Variable_Management!$B$187</definedName>
    <definedName name="Gcomp">Constants!$B$29</definedName>
    <definedName name="Gea_mid_calc">Variable_Management!#REF!</definedName>
    <definedName name="gfs">Variable_Management!$B$256</definedName>
    <definedName name="gm_ea">Constants!$B$34</definedName>
    <definedName name="Gplant_fc_dB">Loop_Modeling!$AD$7</definedName>
    <definedName name="IIN_33">Variable_Management!#REF!</definedName>
    <definedName name="IL_coupled">Variable_Management!$B$24</definedName>
    <definedName name="IL_pk">Variable_Management!$B$122</definedName>
    <definedName name="IL_pk_max">Variable_Management!$B$123</definedName>
    <definedName name="ILA_avg_VIN_max">Variable_Management!$B$90</definedName>
    <definedName name="ILA_avg_VIN_min">Variable_Management!$B$56</definedName>
    <definedName name="ILA_avg_VIN_nom">Variable_Management!$B$73</definedName>
    <definedName name="ILAp_VINmax">Variable_Management!$B$92</definedName>
    <definedName name="ILAp_VINmin">Variable_Management!$B$58</definedName>
    <definedName name="ILAp_VINnom">Variable_Management!$B$75</definedName>
    <definedName name="ILArip_VINmax">Variable_Management!$B$91</definedName>
    <definedName name="ILArip_VINmin">Variable_Management!$B$57</definedName>
    <definedName name="ILArip_VINnom">Variable_Management!$B$74</definedName>
    <definedName name="ILB_avg_VIN_max">Variable_Management!$B$95</definedName>
    <definedName name="ILB_avg_VIN_min">Variable_Management!$B$61</definedName>
    <definedName name="ILB_avg_VIN_nom">Variable_Management!$B$78</definedName>
    <definedName name="ILBp_VIN_max">Variable_Management!$B$97</definedName>
    <definedName name="ILBp_VIN_min">Variable_Management!$B$63</definedName>
    <definedName name="ILBp_VIN_nom">Variable_Management!$B$80</definedName>
    <definedName name="ILBrip_VIN_max">Variable_Management!$B$96</definedName>
    <definedName name="ILBrip_VIN_nom">Variable_Management!$B$79</definedName>
    <definedName name="ILBrip_VINmin">Variable_Management!$B$62</definedName>
    <definedName name="ILrip">Variable_Management!$B$28</definedName>
    <definedName name="IOUT">Variable_Management!$B$14</definedName>
    <definedName name="IOUT_VAR">Loop_Modeling!$B$17</definedName>
    <definedName name="Ipk_margin">Variable_Management!$B$103</definedName>
    <definedName name="Ipk_selected">Variable_Management!$B$104</definedName>
    <definedName name="IQ">Constants!$B$48</definedName>
    <definedName name="IRMS_COUT">Variable_Management!$B$143</definedName>
    <definedName name="Isl">Constants!$B$25</definedName>
    <definedName name="Iss">Constants!$B$37</definedName>
    <definedName name="ISW_peak_VIN_min">Variable_Management!$B$66</definedName>
    <definedName name="ISW_peak_VIN_nom">Variable_Management!$B$83</definedName>
    <definedName name="Kslope">Variable_Management!$B$110</definedName>
    <definedName name="Lm">Variable_Management!$B$40</definedName>
    <definedName name="Lm_A">Variable_Management!$B$42</definedName>
    <definedName name="Lm_B">Variable_Management!$B$44</definedName>
    <definedName name="Lopt">Variable_Management!#REF!</definedName>
    <definedName name="Lopt_2">Variable_Management!$B$29</definedName>
    <definedName name="M_L_DCM">Variable_Management!$B$34</definedName>
    <definedName name="POUT">Variable_Management!$B$16</definedName>
    <definedName name="_xlnm.Print_Area" localSheetId="0">'Design Converter'!$A$1:$Z$102</definedName>
    <definedName name="Q">Loop_Modeling!$B$48</definedName>
    <definedName name="Q_VINmin">Variable_Management!$B$195</definedName>
    <definedName name="Qg_tot">Variable_Management!$B$251</definedName>
    <definedName name="Qgd">Variable_Management!$B$252</definedName>
    <definedName name="Qgs">Variable_Management!$B$253</definedName>
    <definedName name="Qrr">Variable_Management!$B$246</definedName>
    <definedName name="R_cs">Variable_Management!$B$118</definedName>
    <definedName name="R_sl">Variable_Management!$B$119</definedName>
    <definedName name="RCOMP">Variable_Management!$B$236</definedName>
    <definedName name="RCOMP_Calc">Variable_Management!$B$235</definedName>
    <definedName name="Rcomp_calc_CCM">Variable_Management!$B$206</definedName>
    <definedName name="RCOMP_CALC_DCM">Variable_Management!$B$227</definedName>
    <definedName name="Rcs_max">Variable_Management!$B$107</definedName>
    <definedName name="Rcs_w_sl">Variable_Management!$B$111</definedName>
    <definedName name="Rcs_wo_sl">Variable_Management!$B$108</definedName>
    <definedName name="Rdcr">Variable_Management!$B$46</definedName>
    <definedName name="RDS_on">Variable_Management!$B$250</definedName>
    <definedName name="Resr">Variable_Management!$B$145</definedName>
    <definedName name="RFBB">Variable_Management!$B$172</definedName>
    <definedName name="RFBB_calc">Variable_Management!$B$171</definedName>
    <definedName name="RFBT">Variable_Management!$B$170</definedName>
    <definedName name="Rgate">Variable_Management!$B$254</definedName>
    <definedName name="ROUT">Variable_Management!$B$15</definedName>
    <definedName name="Rsl_int">Constants!$B$26</definedName>
    <definedName name="RT">Variable_Management!$B$11</definedName>
    <definedName name="Ruvlo_bottom_calc">Variable_Management!$B$161</definedName>
    <definedName name="Ruvlo_top">Variable_Management!$B$160</definedName>
    <definedName name="Ruvlo_top_calc">Variable_Management!$B$159</definedName>
    <definedName name="SCH_1">Plot_Management_Sch!$B$2</definedName>
    <definedName name="Se_VINmin">Variable_Management!$B$191</definedName>
    <definedName name="Sn_VINmin">Variable_Management!$B$192</definedName>
    <definedName name="tf_sw">Variable_Management!$B$263</definedName>
    <definedName name="tr_sw">Variable_Management!$B$262</definedName>
    <definedName name="tss">Variable_Management!$B$150</definedName>
    <definedName name="UV_fall">Constants!$B$41</definedName>
    <definedName name="UV_I_hyst">Constants!$B$42</definedName>
    <definedName name="UV_rise">Constants!$B$40</definedName>
    <definedName name="Vcc">Constants!$B$45</definedName>
    <definedName name="Vcl">Constants!$B$27</definedName>
    <definedName name="VCrr">Variable_Management!$B$130</definedName>
    <definedName name="Vd_rect">Variable_Management!$B$245</definedName>
    <definedName name="VIN_33">Variable_Management!#REF!</definedName>
    <definedName name="VIN_max">Variable_Management!$B$9</definedName>
    <definedName name="VIN_min">Variable_Management!$B$7</definedName>
    <definedName name="VIN_nom">Variable_Management!$B$8</definedName>
    <definedName name="VIN_op_max">Constants!$B$52</definedName>
    <definedName name="VIN_op_min">Constants!$B$51</definedName>
    <definedName name="VIN_var">Loop_Modeling!$B$16</definedName>
    <definedName name="VOUT">Variable_Management!$B$13</definedName>
    <definedName name="Vout_rip_sel">Variable_Management!$B$140</definedName>
    <definedName name="Vref">Constants!$B$33</definedName>
    <definedName name="Vth">Variable_Management!$B$257</definedName>
    <definedName name="Vuvlo_off">Variable_Management!$B$155</definedName>
    <definedName name="Vuvlo_on">Variable_Management!$B$154</definedName>
    <definedName name="wp_lf">Loop_Modeling!$B$35</definedName>
    <definedName name="wp_lf_DCM">Loop_Modeling!$B$69</definedName>
    <definedName name="wp_lf_VINmin">Variable_Management!$B$180</definedName>
    <definedName name="wp0_ea">Loop_Modeling!$B$60</definedName>
    <definedName name="wp1_ea">Loop_Modeling!$B$61</definedName>
    <definedName name="wsl">Loop_Modeling!$B$47</definedName>
    <definedName name="wsl_VINmin">Variable_Management!$B$194</definedName>
    <definedName name="wz_ea">Loop_Modeling!$B$59</definedName>
    <definedName name="wz_esr">Loop_Modeling!$B$41</definedName>
    <definedName name="wz_esr_VINmin">Variable_Management!$B$183</definedName>
    <definedName name="wz_rhp">Loop_Modeling!$B$38</definedName>
    <definedName name="wz_RHP_VINmin">Variable_Management!$B$186</definedName>
    <definedName name="wz1_dcm">Loop_Modeling!$B$71</definedName>
    <definedName name="wz2_dcm">Loop_Modeling!$B$73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BMC-BCS</author>
  </authors>
  <commentList>
    <comment ref="A3" authorId="0">
      <text>
        <r>
          <rPr>
            <b/>
            <sz val="11"/>
            <color indexed="10"/>
            <rFont val="Tahoma"/>
            <charset val="134"/>
          </rPr>
          <t>Welcome to the LM34x8 Design Tool</t>
        </r>
        <r>
          <rPr>
            <sz val="9"/>
            <rFont val="Tahoma"/>
            <charset val="134"/>
          </rPr>
          <t xml:space="preserve">
This stand-alone tool facilitates and assists the power supply engineer with design of a DC-DC boost converter based on the LM34x8 SEPIC controller. As such, the user can expeditiously arrive at an optimized design by virtue of the following:
- Select components
- Optimize compensation values and pole/zero placement in terms of control loop stability using crossover frquency as a performance metric
- Inspect regulator efficiency and component power dissipation
- Analyze efficiency based on selected MOSFET, inductor and diode parameters
IMPORTANT: You must enable macros if Microsoft Excel asks as the file is being opened. U.S. English notation is used throughout. Make sure to input or select values in all of the yellow shaded cells even if a value already exists in that cell. Do not over write equations in cells, as this may result in calculation errors.
</t>
        </r>
      </text>
    </comment>
    <comment ref="G7" authorId="0">
      <text>
        <r>
          <rPr>
            <b/>
            <sz val="9"/>
            <rFont val="Tahoma"/>
            <charset val="134"/>
          </rPr>
          <t xml:space="preserve">Minimum Input Voltage:
</t>
        </r>
        <r>
          <rPr>
            <sz val="9"/>
            <rFont val="Tahoma"/>
            <charset val="134"/>
          </rPr>
          <t xml:space="preserve">Enter the minimum operating input voltage.
The LM34x8 VIN pin voltage operating range is 2.97V to 40V.
</t>
        </r>
        <r>
          <rPr>
            <b/>
            <sz val="9"/>
            <rFont val="Tahoma"/>
            <charset val="134"/>
          </rPr>
          <t xml:space="preserve">
</t>
        </r>
        <r>
          <rPr>
            <b/>
            <sz val="9"/>
            <color indexed="10"/>
            <rFont val="Tahoma"/>
            <charset val="134"/>
          </rPr>
          <t>The text in the cell is flagged red if:</t>
        </r>
        <r>
          <rPr>
            <b/>
            <sz val="9"/>
            <rFont val="Tahoma"/>
            <charset val="134"/>
          </rPr>
          <t xml:space="preserve">
</t>
        </r>
        <r>
          <rPr>
            <sz val="9"/>
            <rFont val="Tahoma"/>
            <charset val="134"/>
          </rPr>
          <t>-The input voltage is above 40V
-The input voltage is below 2.97V</t>
        </r>
      </text>
    </comment>
    <comment ref="G8" authorId="0">
      <text>
        <r>
          <rPr>
            <b/>
            <sz val="9"/>
            <rFont val="Tahoma"/>
            <charset val="134"/>
          </rPr>
          <t xml:space="preserve">Nominal Input Voltage:
</t>
        </r>
        <r>
          <rPr>
            <sz val="9"/>
            <rFont val="Tahoma"/>
            <charset val="134"/>
          </rPr>
          <t>Enter the nominal operating input voltage.
The LM34x8 input voltage operating range is 2.97V to 40V.</t>
        </r>
        <r>
          <rPr>
            <b/>
            <sz val="9"/>
            <rFont val="Tahoma"/>
            <charset val="134"/>
          </rPr>
          <t xml:space="preserve">
</t>
        </r>
        <r>
          <rPr>
            <b/>
            <sz val="9"/>
            <color indexed="10"/>
            <rFont val="Tahoma"/>
            <charset val="134"/>
          </rPr>
          <t>The text in the cell is flagged red if:</t>
        </r>
        <r>
          <rPr>
            <b/>
            <sz val="9"/>
            <rFont val="Tahoma"/>
            <charset val="134"/>
          </rPr>
          <t xml:space="preserve">
</t>
        </r>
        <r>
          <rPr>
            <sz val="9"/>
            <rFont val="Tahoma"/>
            <charset val="134"/>
          </rPr>
          <t>-The input voltage is above V</t>
        </r>
        <r>
          <rPr>
            <vertAlign val="subscript"/>
            <sz val="9"/>
            <rFont val="Tahoma"/>
            <charset val="134"/>
          </rPr>
          <t>SUPPLY</t>
        </r>
        <r>
          <rPr>
            <sz val="9"/>
            <rFont val="Tahoma"/>
            <charset val="134"/>
          </rPr>
          <t>(max)
-The input voltage is below V</t>
        </r>
        <r>
          <rPr>
            <vertAlign val="subscript"/>
            <sz val="9"/>
            <rFont val="Tahoma"/>
            <charset val="134"/>
          </rPr>
          <t>SUPPLY</t>
        </r>
        <r>
          <rPr>
            <sz val="9"/>
            <rFont val="Tahoma"/>
            <charset val="134"/>
          </rPr>
          <t>(min)</t>
        </r>
      </text>
    </comment>
    <comment ref="G9" authorId="0">
      <text>
        <r>
          <rPr>
            <b/>
            <sz val="9"/>
            <rFont val="Tahoma"/>
            <charset val="134"/>
          </rPr>
          <t>Maximum Input Voltage:</t>
        </r>
        <r>
          <rPr>
            <sz val="9"/>
            <rFont val="Tahoma"/>
            <charset val="134"/>
          </rPr>
          <t xml:space="preserve">
Enter the maximum operating input voltage.
The LM34x8 input voltage operating range is 2.97V to 40V.
</t>
        </r>
        <r>
          <rPr>
            <b/>
            <sz val="9"/>
            <color indexed="10"/>
            <rFont val="Tahoma"/>
            <charset val="134"/>
          </rPr>
          <t xml:space="preserve">
The text in the cell is flagged red if:</t>
        </r>
        <r>
          <rPr>
            <sz val="9"/>
            <rFont val="Tahoma"/>
            <charset val="134"/>
          </rPr>
          <t xml:space="preserve">
-The input voltage is above 40V
-The input voltage is below 2.97V</t>
        </r>
      </text>
    </comment>
    <comment ref="G10" authorId="0">
      <text>
        <r>
          <rPr>
            <b/>
            <sz val="9"/>
            <rFont val="Tahoma"/>
            <charset val="134"/>
          </rPr>
          <t>Output Voltage:</t>
        </r>
        <r>
          <rPr>
            <sz val="9"/>
            <rFont val="Tahoma"/>
            <charset val="134"/>
          </rPr>
          <t xml:space="preserve">
Enter the desired output voltage.
</t>
        </r>
      </text>
    </comment>
    <comment ref="G12" authorId="0">
      <text>
        <r>
          <rPr>
            <b/>
            <sz val="9"/>
            <rFont val="Tahoma"/>
            <charset val="134"/>
          </rPr>
          <t>Operating Frequency (set by FA/SD):</t>
        </r>
        <r>
          <rPr>
            <sz val="9"/>
            <rFont val="Tahoma"/>
            <charset val="134"/>
          </rPr>
          <t xml:space="preserve">
This cell defines the free-running switching frequency set by the RT resistor. 
</t>
        </r>
        <r>
          <rPr>
            <sz val="11"/>
            <color indexed="10"/>
            <rFont val="Calibri"/>
            <scheme val="minor"/>
            <charset val="0"/>
          </rPr>
          <t>The text in the cell is flagged red if:</t>
        </r>
        <r>
          <rPr>
            <sz val="9"/>
            <rFont val="Tahoma"/>
            <charset val="134"/>
          </rPr>
          <t xml:space="preserve">
-The frequency is below 100 kHz
-The frequency is above 1 MHz</t>
        </r>
      </text>
    </comment>
    <comment ref="G15" authorId="0">
      <text>
        <r>
          <rPr>
            <b/>
            <sz val="9"/>
            <rFont val="Tahoma"/>
            <charset val="134"/>
          </rPr>
          <t xml:space="preserve">Maximum duty cycle
</t>
        </r>
        <r>
          <rPr>
            <sz val="9"/>
            <rFont val="Tahoma"/>
            <charset val="134"/>
          </rPr>
          <t xml:space="preserve">The LM3478-88 has a maximum duty cycle of 100%.
The limits for the maximum duty cycle can not be specified since the part does not permit less than 100% maximum duty cycle operation
</t>
        </r>
      </text>
    </comment>
    <comment ref="G16" authorId="0">
      <text>
        <r>
          <rPr>
            <sz val="9"/>
            <color indexed="10"/>
            <rFont val="Tahoma"/>
            <charset val="134"/>
          </rPr>
          <t xml:space="preserve">
</t>
        </r>
        <r>
          <rPr>
            <b/>
            <sz val="9"/>
            <color indexed="10"/>
            <rFont val="Tahoma"/>
            <charset val="134"/>
          </rPr>
          <t>The text in the cell is flagged red if:</t>
        </r>
        <r>
          <rPr>
            <sz val="9"/>
            <rFont val="Tahoma"/>
            <charset val="134"/>
          </rPr>
          <t xml:space="preserve">
</t>
        </r>
        <r>
          <rPr>
            <b/>
            <sz val="9"/>
            <rFont val="Tahoma"/>
            <charset val="134"/>
          </rPr>
          <t>- Duty CCM duty cycle for the step up ratio is greater then the duty cycle limit of the LM34x8. For high step-up ratio designs the regulator can be configured to operate in discontinous conduction mode (DCM) to achieve the step up ratio.</t>
        </r>
      </text>
    </comment>
    <comment ref="G19" authorId="0">
      <text>
        <r>
          <rPr>
            <b/>
            <sz val="9"/>
            <rFont val="Tahoma"/>
            <charset val="134"/>
          </rPr>
          <t>CCM-DCM:</t>
        </r>
        <r>
          <rPr>
            <sz val="9"/>
            <rFont val="Tahoma"/>
            <charset val="134"/>
          </rPr>
          <t xml:space="preserve">
CCM = Continous Conduction Mode
DCM  = Discontinous Conduction Mode</t>
        </r>
      </text>
    </comment>
    <comment ref="G20" authorId="0">
      <text>
        <r>
          <rPr>
            <b/>
            <sz val="9"/>
            <rFont val="Tahoma"/>
            <charset val="134"/>
          </rPr>
          <t>Ripple Ratio</t>
        </r>
        <r>
          <rPr>
            <sz val="9"/>
            <rFont val="Tahoma"/>
            <charset val="134"/>
          </rPr>
          <t xml:space="preserve">
Select the maximum ripple ratio of the inductor current. The maximum ripple ratio occurs when the duty cycle is 33%. 
Typically a good maximum ripple current is in the 50% to 70% range. In this range there is a good trade off between efficiency and the minimum RHP zero frequency of the plant
If cell H19 is equal to 1, this input cell is not condsidered as DCM operation is required to achieve the desired ste-up ratio. For the case the maximum duty cycyle is set to be 70%.</t>
        </r>
      </text>
    </comment>
    <comment ref="G22" authorId="0">
      <text>
        <r>
          <rPr>
            <b/>
            <sz val="9"/>
            <rFont val="Tahoma"/>
            <charset val="134"/>
          </rPr>
          <t xml:space="preserve">Filter Inductance:
</t>
        </r>
        <r>
          <rPr>
            <sz val="9"/>
            <rFont val="Tahoma"/>
            <charset val="134"/>
          </rPr>
          <t xml:space="preserve">Enter the filter inductance here.
</t>
        </r>
      </text>
    </comment>
    <comment ref="G23" authorId="0">
      <text>
        <r>
          <rPr>
            <b/>
            <sz val="9"/>
            <rFont val="Tahoma"/>
            <charset val="134"/>
          </rPr>
          <t>Peak Inductor Current</t>
        </r>
        <r>
          <rPr>
            <sz val="9"/>
            <rFont val="Tahoma"/>
            <charset val="134"/>
          </rPr>
          <t xml:space="preserve">
Maximum peak inductor current during normal operation.  The peak current limit calculations are based on this value</t>
        </r>
      </text>
    </comment>
    <comment ref="G26" authorId="0">
      <text>
        <r>
          <rPr>
            <b/>
            <sz val="9"/>
            <rFont val="Tahoma"/>
            <charset val="134"/>
          </rPr>
          <t>Peak Current Limit Margin</t>
        </r>
        <r>
          <rPr>
            <sz val="9"/>
            <rFont val="Tahoma"/>
            <charset val="134"/>
          </rPr>
          <t xml:space="preserve">
Minimum value is 15%
Margin above the calculated peak inductor current. Margin must be given to allow for load transients and component tolerances.</t>
        </r>
      </text>
    </comment>
    <comment ref="G27" authorId="0">
      <text>
        <r>
          <rPr>
            <b/>
            <sz val="9"/>
            <rFont val="Tahoma"/>
            <charset val="134"/>
          </rPr>
          <t xml:space="preserve">Selected Peak Inductor Current Limt
</t>
        </r>
        <r>
          <rPr>
            <sz val="9"/>
            <rFont val="Tahoma"/>
            <charset val="134"/>
          </rPr>
          <t xml:space="preserve">
Peak inductor current limit based on the margin and the steady state peak inductor current at V</t>
        </r>
        <r>
          <rPr>
            <vertAlign val="subscript"/>
            <sz val="9"/>
            <rFont val="Tahoma"/>
            <charset val="134"/>
          </rPr>
          <t>IN_MIN</t>
        </r>
        <r>
          <rPr>
            <sz val="9"/>
            <rFont val="Tahoma"/>
            <charset val="134"/>
          </rPr>
          <t xml:space="preserve"> and maximum output current</t>
        </r>
      </text>
    </comment>
    <comment ref="G28" authorId="0">
      <text>
        <r>
          <rPr>
            <b/>
            <sz val="9"/>
            <rFont val="Tahoma"/>
            <charset val="134"/>
          </rPr>
          <t>Current Sense Resistor Calculation</t>
        </r>
        <r>
          <rPr>
            <sz val="9"/>
            <rFont val="Tahoma"/>
            <charset val="134"/>
          </rPr>
          <t xml:space="preserve">
Calculated current sense resistor based on the desired maximum peak current limit. 
</t>
        </r>
      </text>
    </comment>
    <comment ref="G40" authorId="0">
      <text>
        <r>
          <rPr>
            <sz val="11"/>
            <rFont val="Tahoma"/>
            <charset val="134"/>
          </rPr>
          <t>This is the desired load transient output voltage dip for the a 50% to 100% load step on the output.</t>
        </r>
        <r>
          <rPr>
            <sz val="9"/>
            <rFont val="Tahoma"/>
            <charset val="134"/>
          </rPr>
          <t xml:space="preserve">
</t>
        </r>
      </text>
    </comment>
    <comment ref="G59" authorId="0">
      <text>
        <r>
          <rPr>
            <b/>
            <sz val="9"/>
            <rFont val="Tahoma"/>
            <charset val="134"/>
          </rPr>
          <t xml:space="preserve">Changes the input voltage value. Allow for evaluation of the control loop ane efficiency at different input voltages.
</t>
        </r>
        <r>
          <rPr>
            <b/>
            <sz val="9"/>
            <color indexed="10"/>
            <rFont val="Tahoma"/>
            <charset val="134"/>
          </rPr>
          <t>The text in the cell is flagged red if:
-The variable input voltage is less than the minimum input voltage
-The variable input voltage is greater than the maximum input voltage</t>
        </r>
      </text>
    </comment>
  </commentList>
</comments>
</file>

<file path=xl/comments2.xml><?xml version="1.0" encoding="utf-8"?>
<comments xmlns="http://schemas.openxmlformats.org/spreadsheetml/2006/main">
  <authors>
    <author>BMC-BCS</author>
  </authors>
  <commentList>
    <comment ref="B21" authorId="0">
      <text>
        <r>
          <rPr>
            <b/>
            <sz val="9"/>
            <rFont val="Tahoma"/>
            <charset val="134"/>
          </rPr>
          <t xml:space="preserve">Forced off time limit? 
[1 True, 0 False]
Just comparing the maximum duty cycle of the IC and the ideal duty cycle of the step up ratio
</t>
        </r>
        <r>
          <rPr>
            <sz val="9"/>
            <rFont val="Tahoma"/>
            <charset val="134"/>
          </rPr>
          <t xml:space="preserve">
</t>
        </r>
      </text>
    </comment>
    <comment ref="K121" authorId="0">
      <text>
        <r>
          <rPr>
            <b/>
            <sz val="9"/>
            <rFont val="Tahoma"/>
            <charset val="134"/>
          </rPr>
          <t xml:space="preserve">Slope Compensation flag. If this flag is tripped there is not enough slope compensation. Double check the calculated values. 
</t>
        </r>
        <r>
          <rPr>
            <sz val="9"/>
            <rFont val="Tahoma"/>
            <charset val="134"/>
          </rPr>
          <t xml:space="preserve">
</t>
        </r>
      </text>
    </comment>
    <comment ref="K122" authorId="0">
      <text>
        <r>
          <rPr>
            <sz val="9"/>
            <rFont val="Tahoma"/>
            <charset val="134"/>
          </rPr>
          <t xml:space="preserve">Tripped if the current sense resistor results in a lower current limit
</t>
        </r>
      </text>
    </comment>
  </commentList>
</comments>
</file>

<file path=xl/comments3.xml><?xml version="1.0" encoding="utf-8"?>
<comments xmlns="http://schemas.openxmlformats.org/spreadsheetml/2006/main">
  <authors>
    <author>BMC-BCS</author>
  </authors>
  <commentList>
    <comment ref="V6" authorId="0">
      <text>
        <r>
          <rPr>
            <b/>
            <sz val="9"/>
            <rFont val="Tahoma"/>
            <charset val="134"/>
          </rPr>
          <t xml:space="preserve">1 = DCM operation
2 = CCM operation
</t>
        </r>
      </text>
    </comment>
    <comment ref="AG6" authorId="0">
      <text>
        <r>
          <rPr>
            <b/>
            <sz val="9"/>
            <rFont val="Tahoma"/>
            <charset val="134"/>
          </rPr>
          <t>BMC-BCS:</t>
        </r>
        <r>
          <rPr>
            <sz val="9"/>
            <rFont val="Tahoma"/>
            <charset val="134"/>
          </rPr>
          <t xml:space="preserve">
Estimating uisng Average current. Needs to be updated for RMS current
</t>
        </r>
      </text>
    </comment>
    <comment ref="AK6" authorId="0">
      <text>
        <r>
          <rPr>
            <b/>
            <sz val="9"/>
            <rFont val="Tahoma"/>
            <charset val="134"/>
          </rPr>
          <t>BMC-BCS:</t>
        </r>
        <r>
          <rPr>
            <sz val="9"/>
            <rFont val="Tahoma"/>
            <charset val="134"/>
          </rPr>
          <t xml:space="preserve">
Written for boost. Needs to be updated but no big rush
</t>
        </r>
      </text>
    </comment>
  </commentList>
</comments>
</file>

<file path=xl/comments4.xml><?xml version="1.0" encoding="utf-8"?>
<comments xmlns="http://schemas.openxmlformats.org/spreadsheetml/2006/main">
  <authors>
    <author>BMC-BCS</author>
  </authors>
  <commentList>
    <comment ref="O18" authorId="0">
      <text>
        <r>
          <rPr>
            <b/>
            <sz val="9"/>
            <rFont val="Tahoma"/>
            <charset val="134"/>
          </rPr>
          <t>BMC-BCS:</t>
        </r>
        <r>
          <rPr>
            <sz val="9"/>
            <rFont val="Tahoma"/>
            <charset val="134"/>
          </rPr>
          <t xml:space="preserve">
Need to make this log not linear at some point
</t>
        </r>
      </text>
    </comment>
  </commentList>
</comments>
</file>

<file path=xl/sharedStrings.xml><?xml version="1.0" encoding="utf-8"?>
<sst xmlns="http://schemas.openxmlformats.org/spreadsheetml/2006/main" count="983" uniqueCount="574">
  <si>
    <t>LM3478-88 DC/DC Coupled Inductor SEPIC Controller Design Tool</t>
  </si>
  <si>
    <t>ABOUT</t>
  </si>
  <si>
    <t>=Input Box</t>
  </si>
  <si>
    <t>TERMS OF USE</t>
  </si>
  <si>
    <t>October-2024</t>
  </si>
  <si>
    <t>Step 1: Design Specifications</t>
  </si>
  <si>
    <r>
      <rPr>
        <sz val="10"/>
        <color theme="1"/>
        <rFont val="Calibri"/>
        <charset val="134"/>
        <scheme val="minor"/>
      </rPr>
      <t>Minimum Input Supply Voltage , V</t>
    </r>
    <r>
      <rPr>
        <vertAlign val="subscript"/>
        <sz val="10"/>
        <color theme="1"/>
        <rFont val="Calibri"/>
        <charset val="134"/>
        <scheme val="minor"/>
      </rPr>
      <t>SUPPLY(min)</t>
    </r>
    <r>
      <rPr>
        <sz val="10"/>
        <color theme="1"/>
        <rFont val="Calibri"/>
        <charset val="134"/>
        <scheme val="minor"/>
      </rPr>
      <t xml:space="preserve"> </t>
    </r>
  </si>
  <si>
    <t>V</t>
  </si>
  <si>
    <r>
      <rPr>
        <sz val="10"/>
        <color theme="1"/>
        <rFont val="Calibri"/>
        <charset val="134"/>
        <scheme val="minor"/>
      </rPr>
      <t>Typical Input Supply Voltage, V</t>
    </r>
    <r>
      <rPr>
        <vertAlign val="subscript"/>
        <sz val="10"/>
        <color theme="1"/>
        <rFont val="Calibri"/>
        <charset val="134"/>
        <scheme val="minor"/>
      </rPr>
      <t>SUPPLY(typ)</t>
    </r>
    <r>
      <rPr>
        <sz val="10"/>
        <color theme="1"/>
        <rFont val="Calibri"/>
        <charset val="134"/>
        <scheme val="minor"/>
      </rPr>
      <t xml:space="preserve"> </t>
    </r>
  </si>
  <si>
    <r>
      <rPr>
        <sz val="10"/>
        <color theme="1"/>
        <rFont val="Calibri"/>
        <charset val="134"/>
        <scheme val="minor"/>
      </rPr>
      <t>Maximum Input Supply Voltage , V</t>
    </r>
    <r>
      <rPr>
        <vertAlign val="subscript"/>
        <sz val="10"/>
        <color theme="1"/>
        <rFont val="Calibri"/>
        <charset val="134"/>
        <scheme val="minor"/>
      </rPr>
      <t>SUPPLY(max)</t>
    </r>
    <r>
      <rPr>
        <sz val="10"/>
        <color theme="1"/>
        <rFont val="Calibri"/>
        <charset val="134"/>
        <scheme val="minor"/>
      </rPr>
      <t xml:space="preserve"> </t>
    </r>
  </si>
  <si>
    <r>
      <rPr>
        <sz val="10"/>
        <color theme="1"/>
        <rFont val="Calibri"/>
        <charset val="134"/>
        <scheme val="minor"/>
      </rPr>
      <t>Output Target Voltage, V</t>
    </r>
    <r>
      <rPr>
        <vertAlign val="subscript"/>
        <sz val="10"/>
        <color theme="1"/>
        <rFont val="Calibri"/>
        <charset val="134"/>
        <scheme val="minor"/>
      </rPr>
      <t>LOAD</t>
    </r>
    <r>
      <rPr>
        <sz val="10"/>
        <color theme="1"/>
        <rFont val="Calibri"/>
        <charset val="134"/>
        <scheme val="minor"/>
      </rPr>
      <t xml:space="preserve"> </t>
    </r>
  </si>
  <si>
    <r>
      <rPr>
        <sz val="10"/>
        <color theme="1"/>
        <rFont val="Calibri"/>
        <charset val="134"/>
        <scheme val="minor"/>
      </rPr>
      <t>Maximum Output Current , I</t>
    </r>
    <r>
      <rPr>
        <vertAlign val="subscript"/>
        <sz val="10"/>
        <color theme="1"/>
        <rFont val="Calibri"/>
        <charset val="134"/>
        <scheme val="minor"/>
      </rPr>
      <t>LOAD</t>
    </r>
    <r>
      <rPr>
        <sz val="10"/>
        <color theme="1"/>
        <rFont val="Calibri"/>
        <charset val="134"/>
        <scheme val="minor"/>
      </rPr>
      <t xml:space="preserve"> </t>
    </r>
  </si>
  <si>
    <t>A</t>
  </si>
  <si>
    <r>
      <rPr>
        <sz val="10"/>
        <color theme="1"/>
        <rFont val="Calibri"/>
        <charset val="134"/>
        <scheme val="minor"/>
      </rPr>
      <t>Free Running Switching Frequency, F</t>
    </r>
    <r>
      <rPr>
        <vertAlign val="subscript"/>
        <sz val="10"/>
        <color theme="1"/>
        <rFont val="Calibri"/>
        <charset val="134"/>
        <scheme val="minor"/>
      </rPr>
      <t>SW</t>
    </r>
  </si>
  <si>
    <t>kHz</t>
  </si>
  <si>
    <r>
      <rPr>
        <sz val="10"/>
        <color theme="1"/>
        <rFont val="Calibri"/>
        <charset val="134"/>
        <scheme val="minor"/>
      </rPr>
      <t>Free running Oscillator Set Resistor, R</t>
    </r>
    <r>
      <rPr>
        <vertAlign val="subscript"/>
        <sz val="10"/>
        <color theme="1"/>
        <rFont val="Calibri"/>
        <charset val="134"/>
        <scheme val="minor"/>
      </rPr>
      <t>T</t>
    </r>
  </si>
  <si>
    <r>
      <rPr>
        <sz val="11"/>
        <color theme="1"/>
        <rFont val="Calibri"/>
        <charset val="134"/>
        <scheme val="minor"/>
      </rPr>
      <t>k</t>
    </r>
    <r>
      <rPr>
        <sz val="11"/>
        <color theme="1"/>
        <rFont val="Calibri"/>
        <charset val="134"/>
      </rPr>
      <t>Ω</t>
    </r>
  </si>
  <si>
    <r>
      <rPr>
        <sz val="10"/>
        <color theme="1"/>
        <rFont val="Calibri"/>
        <charset val="134"/>
        <scheme val="minor"/>
      </rPr>
      <t>Output Power, P</t>
    </r>
    <r>
      <rPr>
        <vertAlign val="subscript"/>
        <sz val="10"/>
        <color theme="1"/>
        <rFont val="Calibri"/>
        <charset val="134"/>
        <scheme val="minor"/>
      </rPr>
      <t>OUT</t>
    </r>
    <r>
      <rPr>
        <sz val="10"/>
        <color theme="1"/>
        <rFont val="Calibri"/>
        <charset val="134"/>
        <scheme val="minor"/>
      </rPr>
      <t xml:space="preserve"> </t>
    </r>
  </si>
  <si>
    <t>W</t>
  </si>
  <si>
    <r>
      <rPr>
        <sz val="10"/>
        <color theme="1"/>
        <rFont val="Calibri"/>
        <charset val="134"/>
        <scheme val="minor"/>
      </rPr>
      <t>Recommended maximum duty cycle LM3478-88 at V</t>
    </r>
    <r>
      <rPr>
        <vertAlign val="subscript"/>
        <sz val="10"/>
        <color theme="1"/>
        <rFont val="Calibri"/>
        <charset val="134"/>
        <scheme val="minor"/>
      </rPr>
      <t>SUPPLY(MIN)</t>
    </r>
  </si>
  <si>
    <t>%</t>
  </si>
  <si>
    <r>
      <rPr>
        <sz val="10"/>
        <color theme="1"/>
        <rFont val="Calibri"/>
        <charset val="134"/>
        <scheme val="minor"/>
      </rPr>
      <t>Ideal Duty Cycle at V</t>
    </r>
    <r>
      <rPr>
        <vertAlign val="subscript"/>
        <sz val="10"/>
        <color theme="1"/>
        <rFont val="Calibri"/>
        <charset val="134"/>
        <scheme val="minor"/>
      </rPr>
      <t xml:space="preserve">SUPPLY(MIN) </t>
    </r>
  </si>
  <si>
    <t>Step 2: Filter Inductor</t>
  </si>
  <si>
    <t>Required Mode of Operation:</t>
  </si>
  <si>
    <r>
      <rPr>
        <sz val="10"/>
        <color theme="1"/>
        <rFont val="Calibri"/>
        <charset val="134"/>
        <scheme val="minor"/>
      </rPr>
      <t>Desired Maximum Inductor Current Ripple Ratio (I</t>
    </r>
    <r>
      <rPr>
        <vertAlign val="subscript"/>
        <sz val="10"/>
        <color theme="1"/>
        <rFont val="Calibri"/>
        <charset val="134"/>
        <scheme val="minor"/>
      </rPr>
      <t>RR_MAX</t>
    </r>
    <r>
      <rPr>
        <sz val="10"/>
        <color theme="1"/>
        <rFont val="Calibri"/>
        <charset val="134"/>
        <scheme val="minor"/>
      </rPr>
      <t>)</t>
    </r>
  </si>
  <si>
    <r>
      <rPr>
        <sz val="10"/>
        <color theme="1"/>
        <rFont val="Calibri"/>
        <charset val="134"/>
        <scheme val="minor"/>
      </rPr>
      <t>Recommended Inductance (L</t>
    </r>
    <r>
      <rPr>
        <vertAlign val="subscript"/>
        <sz val="10"/>
        <color theme="1"/>
        <rFont val="Calibri"/>
        <charset val="134"/>
        <scheme val="minor"/>
      </rPr>
      <t>M_CALC</t>
    </r>
    <r>
      <rPr>
        <sz val="10"/>
        <color theme="1"/>
        <rFont val="Calibri"/>
        <charset val="134"/>
        <scheme val="minor"/>
      </rPr>
      <t>)</t>
    </r>
  </si>
  <si>
    <t>uH</t>
  </si>
  <si>
    <r>
      <rPr>
        <sz val="10"/>
        <color theme="1"/>
        <rFont val="Calibri"/>
        <charset val="134"/>
        <scheme val="minor"/>
      </rPr>
      <t>User Selection. Inductance, (L</t>
    </r>
    <r>
      <rPr>
        <vertAlign val="subscript"/>
        <sz val="10"/>
        <color theme="1"/>
        <rFont val="Calibri"/>
        <charset val="134"/>
        <scheme val="minor"/>
      </rPr>
      <t>M</t>
    </r>
    <r>
      <rPr>
        <sz val="10"/>
        <color theme="1"/>
        <rFont val="Calibri"/>
        <charset val="134"/>
        <scheme val="minor"/>
      </rPr>
      <t>)</t>
    </r>
  </si>
  <si>
    <r>
      <rPr>
        <sz val="10"/>
        <color theme="1"/>
        <rFont val="Calibri"/>
        <charset val="134"/>
        <scheme val="minor"/>
      </rPr>
      <t>Peak inductor current, IL</t>
    </r>
    <r>
      <rPr>
        <vertAlign val="subscript"/>
        <sz val="10"/>
        <color theme="1"/>
        <rFont val="Calibri"/>
        <charset val="134"/>
        <scheme val="minor"/>
      </rPr>
      <t>PK</t>
    </r>
  </si>
  <si>
    <t>Step 3: Current Sense Resistor Selection</t>
  </si>
  <si>
    <t>Peak Current Limit Margin</t>
  </si>
  <si>
    <r>
      <rPr>
        <sz val="11"/>
        <color theme="1"/>
        <rFont val="Calibri"/>
        <charset val="134"/>
        <scheme val="minor"/>
      </rPr>
      <t>Selected Peak Current limit (IL</t>
    </r>
    <r>
      <rPr>
        <vertAlign val="subscript"/>
        <sz val="11"/>
        <color theme="1"/>
        <rFont val="Calibri"/>
        <charset val="134"/>
        <scheme val="minor"/>
      </rPr>
      <t>SW_select</t>
    </r>
    <r>
      <rPr>
        <sz val="11"/>
        <color theme="1"/>
        <rFont val="Calibri"/>
        <charset val="134"/>
        <scheme val="minor"/>
      </rPr>
      <t>)</t>
    </r>
  </si>
  <si>
    <r>
      <rPr>
        <sz val="11"/>
        <color theme="1"/>
        <rFont val="Calibri"/>
        <charset val="134"/>
        <scheme val="minor"/>
      </rPr>
      <t>Recommended current sense Resistor (R</t>
    </r>
    <r>
      <rPr>
        <vertAlign val="subscript"/>
        <sz val="11"/>
        <color theme="1"/>
        <rFont val="Calibri"/>
        <charset val="134"/>
        <scheme val="minor"/>
      </rPr>
      <t>S</t>
    </r>
    <r>
      <rPr>
        <sz val="11"/>
        <color theme="1"/>
        <rFont val="Calibri"/>
        <charset val="134"/>
        <scheme val="minor"/>
      </rPr>
      <t>)</t>
    </r>
  </si>
  <si>
    <r>
      <rPr>
        <sz val="11"/>
        <color theme="1"/>
        <rFont val="Calibri"/>
        <charset val="134"/>
        <scheme val="minor"/>
      </rPr>
      <t>m</t>
    </r>
    <r>
      <rPr>
        <sz val="11"/>
        <color theme="1"/>
        <rFont val="Calibri"/>
        <charset val="134"/>
      </rPr>
      <t>Ω</t>
    </r>
  </si>
  <si>
    <r>
      <rPr>
        <sz val="11"/>
        <color theme="1"/>
        <rFont val="Calibri"/>
        <charset val="134"/>
        <scheme val="minor"/>
      </rPr>
      <t>Recommended external slope compensation Resistor (R</t>
    </r>
    <r>
      <rPr>
        <vertAlign val="subscript"/>
        <sz val="11"/>
        <color theme="1"/>
        <rFont val="Calibri"/>
        <charset val="134"/>
        <scheme val="minor"/>
      </rPr>
      <t>SL</t>
    </r>
    <r>
      <rPr>
        <sz val="11"/>
        <color theme="1"/>
        <rFont val="Calibri"/>
        <charset val="134"/>
        <scheme val="minor"/>
      </rPr>
      <t>)</t>
    </r>
  </si>
  <si>
    <t>Ω</t>
  </si>
  <si>
    <r>
      <rPr>
        <sz val="11"/>
        <color theme="1"/>
        <rFont val="Calibri"/>
        <charset val="134"/>
        <scheme val="minor"/>
      </rPr>
      <t>Selected current sense Resistor (R</t>
    </r>
    <r>
      <rPr>
        <vertAlign val="subscript"/>
        <sz val="11"/>
        <color theme="1"/>
        <rFont val="Calibri"/>
        <charset val="134"/>
        <scheme val="minor"/>
      </rPr>
      <t>S</t>
    </r>
    <r>
      <rPr>
        <sz val="11"/>
        <color theme="1"/>
        <rFont val="Calibri"/>
        <charset val="134"/>
        <scheme val="minor"/>
      </rPr>
      <t>)</t>
    </r>
  </si>
  <si>
    <r>
      <rPr>
        <sz val="11"/>
        <color theme="1"/>
        <rFont val="Calibri"/>
        <charset val="134"/>
        <scheme val="minor"/>
      </rPr>
      <t>Selected external slope compensation Resistor (R</t>
    </r>
    <r>
      <rPr>
        <vertAlign val="subscript"/>
        <sz val="11"/>
        <color theme="1"/>
        <rFont val="Calibri"/>
        <charset val="134"/>
        <scheme val="minor"/>
      </rPr>
      <t>SL</t>
    </r>
    <r>
      <rPr>
        <sz val="11"/>
        <color theme="1"/>
        <rFont val="Calibri"/>
        <charset val="134"/>
        <scheme val="minor"/>
      </rPr>
      <t>)</t>
    </r>
  </si>
  <si>
    <t>Actual switch peak current limit</t>
  </si>
  <si>
    <r>
      <rPr>
        <b/>
        <sz val="11"/>
        <color rgb="FF0070C0"/>
        <rFont val="Calibri"/>
        <charset val="134"/>
        <scheme val="minor"/>
      </rPr>
      <t>Step 4: C</t>
    </r>
    <r>
      <rPr>
        <b/>
        <vertAlign val="subscript"/>
        <sz val="11"/>
        <color rgb="FF0070C0"/>
        <rFont val="Calibri"/>
        <charset val="134"/>
        <scheme val="minor"/>
      </rPr>
      <t>AC</t>
    </r>
    <r>
      <rPr>
        <b/>
        <sz val="11"/>
        <color rgb="FF0070C0"/>
        <rFont val="Calibri"/>
        <charset val="134"/>
        <scheme val="minor"/>
      </rPr>
      <t xml:space="preserve"> Capacitor Selection</t>
    </r>
  </si>
  <si>
    <r>
      <rPr>
        <sz val="11"/>
        <color theme="1"/>
        <rFont val="Calibri"/>
        <charset val="134"/>
        <scheme val="minor"/>
      </rPr>
      <t>Minimum couplpling capacitor value (C</t>
    </r>
    <r>
      <rPr>
        <vertAlign val="subscript"/>
        <sz val="11"/>
        <color theme="1"/>
        <rFont val="Calibri"/>
        <charset val="134"/>
        <scheme val="minor"/>
      </rPr>
      <t>AC_min</t>
    </r>
    <r>
      <rPr>
        <sz val="11"/>
        <color theme="1"/>
        <rFont val="Calibri"/>
        <charset val="134"/>
        <scheme val="minor"/>
      </rPr>
      <t>)</t>
    </r>
  </si>
  <si>
    <t>uF</t>
  </si>
  <si>
    <r>
      <rPr>
        <sz val="11"/>
        <color theme="1"/>
        <rFont val="Calibri"/>
        <charset val="134"/>
        <scheme val="minor"/>
      </rPr>
      <t>Selected Coupling Capacitor (C</t>
    </r>
    <r>
      <rPr>
        <vertAlign val="subscript"/>
        <sz val="11"/>
        <color theme="1"/>
        <rFont val="Calibri"/>
        <charset val="134"/>
        <scheme val="minor"/>
      </rPr>
      <t>AC</t>
    </r>
    <r>
      <rPr>
        <sz val="11"/>
        <color theme="1"/>
        <rFont val="Calibri"/>
        <charset val="134"/>
        <scheme val="minor"/>
      </rPr>
      <t>)</t>
    </r>
  </si>
  <si>
    <r>
      <rPr>
        <sz val="11"/>
        <color theme="1"/>
        <rFont val="Calibri"/>
        <charset val="134"/>
        <scheme val="minor"/>
      </rPr>
      <t>Minimuum require C</t>
    </r>
    <r>
      <rPr>
        <vertAlign val="subscript"/>
        <sz val="11"/>
        <color theme="1"/>
        <rFont val="Calibri"/>
        <charset val="134"/>
        <scheme val="minor"/>
      </rPr>
      <t>AC</t>
    </r>
    <r>
      <rPr>
        <sz val="11"/>
        <color theme="1"/>
        <rFont val="Calibri"/>
        <charset val="134"/>
        <scheme val="minor"/>
      </rPr>
      <t xml:space="preserve"> RMS current Rating</t>
    </r>
  </si>
  <si>
    <t>Step 5: Output Capacitor Selection</t>
  </si>
  <si>
    <r>
      <rPr>
        <sz val="11"/>
        <color theme="1"/>
        <rFont val="Calibri"/>
        <charset val="134"/>
        <scheme val="minor"/>
      </rPr>
      <t>Desired load step ripple voltage (</t>
    </r>
    <r>
      <rPr>
        <sz val="11"/>
        <color theme="1"/>
        <rFont val="Calibri"/>
        <charset val="134"/>
      </rPr>
      <t>Δv</t>
    </r>
    <r>
      <rPr>
        <vertAlign val="subscript"/>
        <sz val="11"/>
        <color theme="1"/>
        <rFont val="Calibri"/>
        <charset val="134"/>
      </rPr>
      <t>OUT</t>
    </r>
    <r>
      <rPr>
        <sz val="11"/>
        <color theme="1"/>
        <rFont val="Calibri"/>
        <charset val="134"/>
      </rPr>
      <t>)</t>
    </r>
  </si>
  <si>
    <t>mV</t>
  </si>
  <si>
    <t xml:space="preserve">Minimum output capacitance </t>
  </si>
  <si>
    <r>
      <rPr>
        <sz val="11"/>
        <color theme="1"/>
        <rFont val="Calibri"/>
        <charset val="134"/>
        <scheme val="minor"/>
      </rPr>
      <t>Capacitor RMS current (I</t>
    </r>
    <r>
      <rPr>
        <vertAlign val="subscript"/>
        <sz val="11"/>
        <color theme="1"/>
        <rFont val="Calibri"/>
        <charset val="134"/>
        <scheme val="minor"/>
      </rPr>
      <t>RMS_COUT</t>
    </r>
    <r>
      <rPr>
        <sz val="11"/>
        <color theme="1"/>
        <rFont val="Calibri"/>
        <charset val="134"/>
        <scheme val="minor"/>
      </rPr>
      <t>)</t>
    </r>
  </si>
  <si>
    <r>
      <rPr>
        <sz val="11"/>
        <color theme="1"/>
        <rFont val="Calibri"/>
        <charset val="134"/>
        <scheme val="minor"/>
      </rPr>
      <t>Selected Output Capacitance (C</t>
    </r>
    <r>
      <rPr>
        <vertAlign val="subscript"/>
        <sz val="11"/>
        <color theme="1"/>
        <rFont val="Calibri"/>
        <charset val="134"/>
        <scheme val="minor"/>
      </rPr>
      <t>OUT</t>
    </r>
    <r>
      <rPr>
        <sz val="11"/>
        <color theme="1"/>
        <rFont val="Calibri"/>
        <charset val="134"/>
        <scheme val="minor"/>
      </rPr>
      <t>)</t>
    </r>
  </si>
  <si>
    <r>
      <rPr>
        <sz val="11"/>
        <color theme="1"/>
        <rFont val="Calibri"/>
        <charset val="134"/>
        <scheme val="minor"/>
      </rPr>
      <t>Equivalent  COUT ESR (R</t>
    </r>
    <r>
      <rPr>
        <vertAlign val="subscript"/>
        <sz val="11"/>
        <color theme="1"/>
        <rFont val="Calibri"/>
        <charset val="134"/>
        <scheme val="minor"/>
      </rPr>
      <t>ESR</t>
    </r>
    <r>
      <rPr>
        <sz val="11"/>
        <color theme="1"/>
        <rFont val="Calibri"/>
        <charset val="134"/>
        <scheme val="minor"/>
      </rPr>
      <t>)</t>
    </r>
  </si>
  <si>
    <t>Step  6: Loop Compensation</t>
  </si>
  <si>
    <r>
      <rPr>
        <sz val="11"/>
        <rFont val="Calibri"/>
        <charset val="134"/>
        <scheme val="minor"/>
      </rPr>
      <t>Voltage selected (V</t>
    </r>
    <r>
      <rPr>
        <vertAlign val="subscript"/>
        <sz val="11"/>
        <rFont val="Calibri"/>
        <charset val="134"/>
        <scheme val="minor"/>
      </rPr>
      <t>IN_VAR</t>
    </r>
    <r>
      <rPr>
        <sz val="11"/>
        <rFont val="Calibri"/>
        <charset val="134"/>
        <scheme val="minor"/>
      </rPr>
      <t>)</t>
    </r>
  </si>
  <si>
    <t>Feedback Resistor Selection</t>
  </si>
  <si>
    <r>
      <rPr>
        <sz val="11"/>
        <color theme="1"/>
        <rFont val="Calibri"/>
        <charset val="134"/>
        <scheme val="minor"/>
      </rPr>
      <t>Select a top feedback resistor(R</t>
    </r>
    <r>
      <rPr>
        <vertAlign val="subscript"/>
        <sz val="11"/>
        <color theme="1"/>
        <rFont val="Calibri"/>
        <charset val="134"/>
        <scheme val="minor"/>
      </rPr>
      <t>FBT</t>
    </r>
    <r>
      <rPr>
        <sz val="11"/>
        <color theme="1"/>
        <rFont val="Calibri"/>
        <charset val="134"/>
        <scheme val="minor"/>
      </rPr>
      <t>)</t>
    </r>
  </si>
  <si>
    <t>kΩ</t>
  </si>
  <si>
    <r>
      <rPr>
        <sz val="11"/>
        <color theme="1"/>
        <rFont val="Calibri"/>
        <charset val="134"/>
        <scheme val="minor"/>
      </rPr>
      <t>Calculated bottom feedback resistor (R</t>
    </r>
    <r>
      <rPr>
        <vertAlign val="subscript"/>
        <sz val="11"/>
        <color theme="1"/>
        <rFont val="Calibri"/>
        <charset val="134"/>
        <scheme val="minor"/>
      </rPr>
      <t>FBB_cala</t>
    </r>
    <r>
      <rPr>
        <sz val="11"/>
        <color theme="1"/>
        <rFont val="Calibri"/>
        <charset val="134"/>
        <scheme val="minor"/>
      </rPr>
      <t>)</t>
    </r>
  </si>
  <si>
    <r>
      <rPr>
        <sz val="11"/>
        <color theme="1"/>
        <rFont val="Calibri"/>
        <charset val="134"/>
        <scheme val="minor"/>
      </rPr>
      <t>Select a bottomresistor based on calculated balue(R</t>
    </r>
    <r>
      <rPr>
        <vertAlign val="subscript"/>
        <sz val="11"/>
        <color theme="1"/>
        <rFont val="Calibri"/>
        <charset val="134"/>
        <scheme val="minor"/>
      </rPr>
      <t>FBB</t>
    </r>
    <r>
      <rPr>
        <sz val="11"/>
        <color theme="1"/>
        <rFont val="Calibri"/>
        <charset val="134"/>
        <scheme val="minor"/>
      </rPr>
      <t>)</t>
    </r>
  </si>
  <si>
    <t>Suggested bandwidth</t>
  </si>
  <si>
    <r>
      <rPr>
        <sz val="11"/>
        <color theme="1"/>
        <rFont val="Calibri"/>
        <charset val="134"/>
        <scheme val="minor"/>
      </rPr>
      <t>Selected band width (F</t>
    </r>
    <r>
      <rPr>
        <vertAlign val="subscript"/>
        <sz val="11"/>
        <color theme="1"/>
        <rFont val="Calibri"/>
        <charset val="134"/>
        <scheme val="minor"/>
      </rPr>
      <t>CO</t>
    </r>
    <r>
      <rPr>
        <sz val="11"/>
        <color theme="1"/>
        <rFont val="Calibri"/>
        <charset val="134"/>
        <scheme val="minor"/>
      </rPr>
      <t>)</t>
    </r>
  </si>
  <si>
    <t>Calculated</t>
  </si>
  <si>
    <t>Selected</t>
  </si>
  <si>
    <r>
      <rPr>
        <sz val="11"/>
        <color theme="1"/>
        <rFont val="Calibri"/>
        <charset val="134"/>
        <scheme val="minor"/>
      </rPr>
      <t>R</t>
    </r>
    <r>
      <rPr>
        <vertAlign val="subscript"/>
        <sz val="11"/>
        <color theme="1"/>
        <rFont val="Calibri"/>
        <charset val="134"/>
        <scheme val="minor"/>
      </rPr>
      <t>COMP</t>
    </r>
  </si>
  <si>
    <r>
      <rPr>
        <sz val="11"/>
        <color theme="1"/>
        <rFont val="Calibri"/>
        <charset val="134"/>
        <scheme val="minor"/>
      </rPr>
      <t>C</t>
    </r>
    <r>
      <rPr>
        <vertAlign val="subscript"/>
        <sz val="11"/>
        <color theme="1"/>
        <rFont val="Calibri"/>
        <charset val="134"/>
        <scheme val="minor"/>
      </rPr>
      <t>COMP</t>
    </r>
  </si>
  <si>
    <t>nF</t>
  </si>
  <si>
    <r>
      <rPr>
        <sz val="11"/>
        <color theme="1"/>
        <rFont val="Calibri"/>
        <charset val="134"/>
        <scheme val="minor"/>
      </rPr>
      <t>C</t>
    </r>
    <r>
      <rPr>
        <vertAlign val="subscript"/>
        <sz val="11"/>
        <color theme="1"/>
        <rFont val="Calibri"/>
        <charset val="134"/>
        <scheme val="minor"/>
      </rPr>
      <t>HF</t>
    </r>
  </si>
  <si>
    <t>pF</t>
  </si>
  <si>
    <t>Efficiency / Power Loss Analyzer</t>
  </si>
  <si>
    <t>MOSFET parameters</t>
  </si>
  <si>
    <r>
      <rPr>
        <sz val="10"/>
        <rFont val="Arial"/>
        <charset val="134"/>
      </rPr>
      <t>On-State Resistance, R</t>
    </r>
    <r>
      <rPr>
        <vertAlign val="subscript"/>
        <sz val="10"/>
        <rFont val="Arial"/>
        <charset val="134"/>
      </rPr>
      <t>DS(on)</t>
    </r>
    <r>
      <rPr>
        <sz val="10"/>
        <rFont val="Arial"/>
        <charset val="134"/>
      </rPr>
      <t xml:space="preserve"> </t>
    </r>
  </si>
  <si>
    <t>mΩ</t>
  </si>
  <si>
    <r>
      <rPr>
        <sz val="10"/>
        <rFont val="Arial"/>
        <charset val="134"/>
      </rPr>
      <t>Total Gate Charge, Q</t>
    </r>
    <r>
      <rPr>
        <vertAlign val="subscript"/>
        <sz val="10"/>
        <rFont val="Arial"/>
        <charset val="134"/>
      </rPr>
      <t>G</t>
    </r>
    <r>
      <rPr>
        <sz val="10"/>
        <rFont val="Arial"/>
        <charset val="134"/>
      </rPr>
      <t xml:space="preserve"> </t>
    </r>
  </si>
  <si>
    <t>nC</t>
  </si>
  <si>
    <r>
      <rPr>
        <sz val="10"/>
        <rFont val="Arial"/>
        <charset val="134"/>
      </rPr>
      <t>Gate-Drain Charge, Q</t>
    </r>
    <r>
      <rPr>
        <vertAlign val="subscript"/>
        <sz val="10"/>
        <rFont val="Arial"/>
        <charset val="134"/>
      </rPr>
      <t>GD</t>
    </r>
    <r>
      <rPr>
        <sz val="10"/>
        <rFont val="Arial"/>
        <charset val="134"/>
      </rPr>
      <t xml:space="preserve"> </t>
    </r>
  </si>
  <si>
    <r>
      <rPr>
        <sz val="10"/>
        <rFont val="Arial"/>
        <charset val="134"/>
      </rPr>
      <t>Gate-Source Charge, Q</t>
    </r>
    <r>
      <rPr>
        <vertAlign val="subscript"/>
        <sz val="10"/>
        <rFont val="Arial"/>
        <charset val="134"/>
      </rPr>
      <t>GS</t>
    </r>
    <r>
      <rPr>
        <sz val="10"/>
        <rFont val="Arial"/>
        <charset val="134"/>
      </rPr>
      <t xml:space="preserve"> </t>
    </r>
  </si>
  <si>
    <r>
      <rPr>
        <sz val="10"/>
        <rFont val="Arial"/>
        <charset val="134"/>
      </rPr>
      <t>Gate Resistance, R</t>
    </r>
    <r>
      <rPr>
        <vertAlign val="subscript"/>
        <sz val="10"/>
        <rFont val="Arial"/>
        <charset val="134"/>
      </rPr>
      <t>G</t>
    </r>
    <r>
      <rPr>
        <sz val="10"/>
        <rFont val="Arial"/>
        <charset val="134"/>
      </rPr>
      <t xml:space="preserve"> </t>
    </r>
  </si>
  <si>
    <t>Ω</t>
  </si>
  <si>
    <r>
      <rPr>
        <sz val="10"/>
        <rFont val="Arial"/>
        <charset val="134"/>
      </rPr>
      <t>Transconductance, g</t>
    </r>
    <r>
      <rPr>
        <vertAlign val="subscript"/>
        <sz val="10"/>
        <rFont val="Arial"/>
        <charset val="134"/>
      </rPr>
      <t>FS</t>
    </r>
    <r>
      <rPr>
        <sz val="10"/>
        <rFont val="Arial"/>
        <charset val="134"/>
      </rPr>
      <t xml:space="preserve"> </t>
    </r>
  </si>
  <si>
    <t>S</t>
  </si>
  <si>
    <r>
      <rPr>
        <sz val="10"/>
        <rFont val="Arial"/>
        <charset val="134"/>
      </rPr>
      <t>Gate-Source Threshold Voltage, V</t>
    </r>
    <r>
      <rPr>
        <vertAlign val="subscript"/>
        <sz val="10"/>
        <rFont val="Arial"/>
        <charset val="134"/>
      </rPr>
      <t>TH</t>
    </r>
    <r>
      <rPr>
        <sz val="10"/>
        <rFont val="Arial"/>
        <charset val="134"/>
      </rPr>
      <t xml:space="preserve"> </t>
    </r>
  </si>
  <si>
    <t>Diode Parameters</t>
  </si>
  <si>
    <r>
      <rPr>
        <sz val="11"/>
        <color theme="1"/>
        <rFont val="Calibri"/>
        <charset val="134"/>
        <scheme val="minor"/>
      </rPr>
      <t>Recommended minimum average current rating (I</t>
    </r>
    <r>
      <rPr>
        <vertAlign val="subscript"/>
        <sz val="11"/>
        <color theme="1"/>
        <rFont val="Calibri"/>
        <charset val="134"/>
        <scheme val="minor"/>
      </rPr>
      <t>D_AVG</t>
    </r>
    <r>
      <rPr>
        <sz val="11"/>
        <color theme="1"/>
        <rFont val="Calibri"/>
        <charset val="134"/>
        <scheme val="minor"/>
      </rPr>
      <t>)</t>
    </r>
  </si>
  <si>
    <r>
      <rPr>
        <sz val="11"/>
        <color theme="1"/>
        <rFont val="Calibri"/>
        <charset val="134"/>
        <scheme val="minor"/>
      </rPr>
      <t>Forward Voltage Drop (V</t>
    </r>
    <r>
      <rPr>
        <vertAlign val="subscript"/>
        <sz val="11"/>
        <color theme="1"/>
        <rFont val="Calibri"/>
        <charset val="134"/>
        <scheme val="minor"/>
      </rPr>
      <t>D</t>
    </r>
    <r>
      <rPr>
        <sz val="11"/>
        <color theme="1"/>
        <rFont val="Calibri"/>
        <charset val="134"/>
        <scheme val="minor"/>
      </rPr>
      <t>)</t>
    </r>
  </si>
  <si>
    <t>Reverse recovery charge of Schottky  Diode (QRR)</t>
  </si>
  <si>
    <t>Version Number</t>
  </si>
  <si>
    <t>1.0.0</t>
  </si>
  <si>
    <t>Version History</t>
  </si>
  <si>
    <t>Version</t>
  </si>
  <si>
    <t>Change List Description</t>
  </si>
  <si>
    <t>Initial Release</t>
  </si>
  <si>
    <t>EXCEL Variables Names/Calculations</t>
  </si>
  <si>
    <t>Input from user =</t>
  </si>
  <si>
    <t>Output =</t>
  </si>
  <si>
    <t xml:space="preserve">Base Calculations of </t>
  </si>
  <si>
    <t>Spec conditions</t>
  </si>
  <si>
    <t>Nominal right now</t>
  </si>
  <si>
    <t>Constant</t>
  </si>
  <si>
    <t>Variable Name</t>
  </si>
  <si>
    <t>Value</t>
  </si>
  <si>
    <t>STD Units</t>
  </si>
  <si>
    <t>Notes</t>
  </si>
  <si>
    <t>Iteration</t>
  </si>
  <si>
    <t>Flag</t>
  </si>
  <si>
    <t>Step 1: Operational Specs</t>
  </si>
  <si>
    <t>VIN_min</t>
  </si>
  <si>
    <t>Minimum input voltage</t>
  </si>
  <si>
    <t>VIN_nom</t>
  </si>
  <si>
    <t>Nominal input voltage</t>
  </si>
  <si>
    <t>VIN_max</t>
  </si>
  <si>
    <t>Maximum input voltage</t>
  </si>
  <si>
    <t>Fsw</t>
  </si>
  <si>
    <t>Hz</t>
  </si>
  <si>
    <t xml:space="preserve">Switching frequnecy </t>
  </si>
  <si>
    <t>RT</t>
  </si>
  <si>
    <t>Oscillator Set resistor. Based on the datasheet equation</t>
  </si>
  <si>
    <t>VOUT</t>
  </si>
  <si>
    <t>Target Output Voltage</t>
  </si>
  <si>
    <t>IOUT</t>
  </si>
  <si>
    <t>Maximum Output current</t>
  </si>
  <si>
    <t>ROUT</t>
  </si>
  <si>
    <t>Minimum load resistance</t>
  </si>
  <si>
    <t>POUT</t>
  </si>
  <si>
    <t>Total output power</t>
  </si>
  <si>
    <t>EFF_est</t>
  </si>
  <si>
    <t xml:space="preserve">Estimated efficiency. Assuming 95% to give some margin </t>
  </si>
  <si>
    <t>Dc_max_ideal</t>
  </si>
  <si>
    <t>Maximum duty cycle at the minimum input voltage. Includes estimated efficiency for margin</t>
  </si>
  <si>
    <t>Dc_max_IC</t>
  </si>
  <si>
    <t>Maximum IC duty cycle. Based on the forced off time. See Mathcad Calculations</t>
  </si>
  <si>
    <t>DCM_Flag</t>
  </si>
  <si>
    <t>Is discontinuous conduction mode required to achieve step up ratio?</t>
  </si>
  <si>
    <t>*Note right now DCM is not active for SEPIC calculations</t>
  </si>
  <si>
    <t>IL_coupled</t>
  </si>
  <si>
    <r>
      <rPr>
        <sz val="11"/>
        <color theme="1"/>
        <rFont val="Calibri"/>
        <charset val="134"/>
        <scheme val="minor"/>
      </rPr>
      <t xml:space="preserve">are the inductors coupled? (1 = Yes, 0 = No). </t>
    </r>
    <r>
      <rPr>
        <b/>
        <sz val="11"/>
        <color theme="1"/>
        <rFont val="Calibri"/>
        <charset val="134"/>
        <scheme val="minor"/>
      </rPr>
      <t>This will be an option in future revisions</t>
    </r>
  </si>
  <si>
    <t>CCM Operation calculations</t>
  </si>
  <si>
    <t>Calculate the inductor at nominal voltage. This should allow for the best efficiency</t>
  </si>
  <si>
    <t>ILrip</t>
  </si>
  <si>
    <t>Selected indutor ripple ratio. Will be changed later to a standard value just to keep things simple</t>
  </si>
  <si>
    <t>Lopt_2</t>
  </si>
  <si>
    <t>H</t>
  </si>
  <si>
    <t>This value used to make the selection for CCM calculations. This is done at the Nominal input voltage</t>
  </si>
  <si>
    <t>DCM Strategy</t>
  </si>
  <si>
    <t>"Currently this is set of a boost Converter. Will need to change when Supporting DCM Calculation</t>
  </si>
  <si>
    <t>DC_DCM_max</t>
  </si>
  <si>
    <t>Maximum duty cycle for DCM operation. 70% is a good starting point. Could be related to the switching frequency</t>
  </si>
  <si>
    <t>L_DCM_DC</t>
  </si>
  <si>
    <t>Select DCM duty cycle to be 70%. This will keep the ripple current fairly low and allow for efficiency drops.</t>
  </si>
  <si>
    <t>M_L_DCM</t>
  </si>
  <si>
    <t>Margin to allow for inductor ripple current to be greater than the average input current</t>
  </si>
  <si>
    <t>L_DCM_M</t>
  </si>
  <si>
    <t xml:space="preserve">Inductor value that ensures the ripple current is larger than the average input current </t>
  </si>
  <si>
    <t>L_DCM</t>
  </si>
  <si>
    <t>Select the lowest of the two inductor value calculations</t>
  </si>
  <si>
    <t>Lm_calc</t>
  </si>
  <si>
    <t>If DCM is required (high step-up ratio) output L_DCM. Otherwise output the CCM inductor value</t>
  </si>
  <si>
    <t>Lm</t>
  </si>
  <si>
    <t>Selected filter inductor</t>
  </si>
  <si>
    <t>Input from user for uncoupled design</t>
  </si>
  <si>
    <t>Lm_A</t>
  </si>
  <si>
    <t>Input coil inductance</t>
  </si>
  <si>
    <t>Lm_B</t>
  </si>
  <si>
    <t>Output coil inductance</t>
  </si>
  <si>
    <t>Rdcr</t>
  </si>
  <si>
    <t>Filter inductor DCR</t>
  </si>
  <si>
    <t>Ltol</t>
  </si>
  <si>
    <t>Assumed inductor tolerance. Constant to help simplify the user experience</t>
  </si>
  <si>
    <t>.</t>
  </si>
  <si>
    <t>Duty Cycle Calculations</t>
  </si>
  <si>
    <t>Minium input voltage</t>
  </si>
  <si>
    <t>DCc_mode_VIN_min</t>
  </si>
  <si>
    <r>
      <rPr>
        <sz val="11"/>
        <color theme="1"/>
        <rFont val="Calibri"/>
        <charset val="134"/>
        <scheme val="minor"/>
      </rPr>
      <t xml:space="preserve">Flags if the regulator is operating in CCM or DCM (1 = CCM, 0 = DCM). </t>
    </r>
    <r>
      <rPr>
        <b/>
        <sz val="11"/>
        <color theme="1"/>
        <rFont val="Calibri"/>
        <charset val="134"/>
        <scheme val="minor"/>
      </rPr>
      <t>*Currently set to CCM all the time to enusure the calculations are correct for CCM</t>
    </r>
  </si>
  <si>
    <t>Dc_VIN_min</t>
  </si>
  <si>
    <t>Duty cycle at the mimum input voltage (CCM). DCM is modeled for coupled inductor equations. Needs to me modeld of uncoupled inductors</t>
  </si>
  <si>
    <t>s</t>
  </si>
  <si>
    <t>On-time of the switch</t>
  </si>
  <si>
    <t>Input coil currents</t>
  </si>
  <si>
    <t>ILA_avg_VIN_min</t>
  </si>
  <si>
    <t>Average input current at minimum input voltage. 100% Eff assumed</t>
  </si>
  <si>
    <t>ILArip_VINmin</t>
  </si>
  <si>
    <t xml:space="preserve">Inductor ripple current at VIN min. </t>
  </si>
  <si>
    <t>ILAp_VINmin</t>
  </si>
  <si>
    <t>Peak inductor current at VIN min. Including estimated efficiency</t>
  </si>
  <si>
    <t>Output coil currents</t>
  </si>
  <si>
    <t>Outout coil inductor calculations</t>
  </si>
  <si>
    <t>ILB_avg_VIN_min</t>
  </si>
  <si>
    <t>ILBrip_VINmin</t>
  </si>
  <si>
    <t>ILBp_VINmin</t>
  </si>
  <si>
    <t>Switch currents</t>
  </si>
  <si>
    <t>ISW_peak_VIN_min</t>
  </si>
  <si>
    <t>DCc_mode_VIN_nom</t>
  </si>
  <si>
    <t>Flags if the regulator is operating in CCM or DCM (1 = CCM, 0 = DCM)</t>
  </si>
  <si>
    <t>Dc_VIN_nom</t>
  </si>
  <si>
    <t>Duty cycle at the nominal input voltage (CCM) (First order/ ideal equation)</t>
  </si>
  <si>
    <t>ILA_avg_VIN_nom</t>
  </si>
  <si>
    <t>Average input current at nominal input voltage. 100% Eff assumed</t>
  </si>
  <si>
    <t>ILArip_VINnom</t>
  </si>
  <si>
    <t xml:space="preserve">Inductor ripple current at VIN nom. </t>
  </si>
  <si>
    <t>ILAp_VINnom</t>
  </si>
  <si>
    <t>Peak inductor current at VIN nom. Including estimated efficiency</t>
  </si>
  <si>
    <t>ILB_avg_VIN_nom</t>
  </si>
  <si>
    <t>ILBrip_VIN_nom</t>
  </si>
  <si>
    <t>ILBp_VIN_nom</t>
  </si>
  <si>
    <t>ISW_peak_VIN_nom</t>
  </si>
  <si>
    <t>DCc_mode_VIN_max</t>
  </si>
  <si>
    <t>Dc_VIN_max</t>
  </si>
  <si>
    <t>Duty cycle at the maximum input voltage (CCM) (First order/ ideal equation)</t>
  </si>
  <si>
    <t>ILA_avg_VIN_max</t>
  </si>
  <si>
    <t>Average input current at maximum input voltage. 100% Eff assumed</t>
  </si>
  <si>
    <t>ILArip_VINmax</t>
  </si>
  <si>
    <t xml:space="preserve">Inductor ripple current at VIN max. </t>
  </si>
  <si>
    <t>ILAp_VINmax</t>
  </si>
  <si>
    <t>Peak inductor current at VIN max. Including estimated efficiency</t>
  </si>
  <si>
    <t>ILB_avg_VIN_max</t>
  </si>
  <si>
    <t>ILBrip_VIN_max</t>
  </si>
  <si>
    <t>ILBp_VIN_max</t>
  </si>
  <si>
    <t>ISW_peak_VIN_max</t>
  </si>
  <si>
    <t>Step 3: Current Sense Resistor</t>
  </si>
  <si>
    <t>Ipk_margin</t>
  </si>
  <si>
    <t>Peak current limit margin. 20% is a typical value</t>
  </si>
  <si>
    <t>Ipk_selected</t>
  </si>
  <si>
    <t>Selected peak current limit based on margin selection</t>
  </si>
  <si>
    <t>Rcs_sl_ratio</t>
  </si>
  <si>
    <t>ratio of down slope to slope compensation. This can be updated to give more margin</t>
  </si>
  <si>
    <t>Rcs_max</t>
  </si>
  <si>
    <t>Maximum Rcs based on internal slope compensation. Assuming slope ratio of 1/2</t>
  </si>
  <si>
    <t>Rcs_wo_sl</t>
  </si>
  <si>
    <t>Current sense resistor without slope compensation</t>
  </si>
  <si>
    <t>Rcs_ext_sl_ratio</t>
  </si>
  <si>
    <t>External Slope compensation ratio. Constant to provide a dead beat response</t>
  </si>
  <si>
    <t>Rcs_w_sl</t>
  </si>
  <si>
    <t>Calculated current sense resistor with slope compensation included</t>
  </si>
  <si>
    <t>R_sl_ext</t>
  </si>
  <si>
    <t>Calculated external slope compensation resistor</t>
  </si>
  <si>
    <t>Flag_ext_sl</t>
  </si>
  <si>
    <t>External Compensation? (0-no, 1-yes), Only accurate for CCM as DCM doesn't need slope compensation</t>
  </si>
  <si>
    <t>R_cs_calc</t>
  </si>
  <si>
    <t>Current Sense Resistor calculated, id DCM this is going to be the value calculated without slope compensation</t>
  </si>
  <si>
    <t>R_sl_calc</t>
  </si>
  <si>
    <t>External slope compensation resistor, if DCM operation the external slope compensation is not needed. Should b 0 Ohm</t>
  </si>
  <si>
    <t>R_cs</t>
  </si>
  <si>
    <t>Selected current sense Resistor</t>
  </si>
  <si>
    <t>R_sl</t>
  </si>
  <si>
    <t>Selected external slope compensation</t>
  </si>
  <si>
    <t>sl_vin_min</t>
  </si>
  <si>
    <t>V/V</t>
  </si>
  <si>
    <t>Check to make sure that slope compensation is high enough at the minimum input voltage</t>
  </si>
  <si>
    <t>IL_pk</t>
  </si>
  <si>
    <t>Peak current limit at the minimum input voltage</t>
  </si>
  <si>
    <t>IL_pk_max</t>
  </si>
  <si>
    <t>Peak inductor current limit for saturation rating.  VIN max due to the possibility of external slope comp</t>
  </si>
  <si>
    <t>sat_mar</t>
  </si>
  <si>
    <t>Margin for saturation current of the inductor</t>
  </si>
  <si>
    <t>IL_sat</t>
  </si>
  <si>
    <t>Recommended Saturation current rating of the selected inductor</t>
  </si>
  <si>
    <t>COMP voltage Limit checks</t>
  </si>
  <si>
    <t>Step 4: AC capacitor selection</t>
  </si>
  <si>
    <t>VCrr</t>
  </si>
  <si>
    <t>Cac_min</t>
  </si>
  <si>
    <t>F</t>
  </si>
  <si>
    <t>Calculated for CCM operation assuming coupled inductors</t>
  </si>
  <si>
    <t>Cac</t>
  </si>
  <si>
    <t>Selected  AC capacitor value for the user</t>
  </si>
  <si>
    <t>V_Cac</t>
  </si>
  <si>
    <t>Max ripple voltage of the capacitor (at VIN min)</t>
  </si>
  <si>
    <t>IRMS_Cac</t>
  </si>
  <si>
    <t>RMS ripple current of the AC capacitor. Calculated at the minimum input votlage</t>
  </si>
  <si>
    <t>*Note this changed for the Version 1 forward. The output capcitance is based on the load transient specification. Similar to the fylback converter</t>
  </si>
  <si>
    <t>fcross_estimate</t>
  </si>
  <si>
    <t>RAD</t>
  </si>
  <si>
    <r>
      <rPr>
        <sz val="11"/>
        <color theme="1"/>
        <rFont val="Calibri"/>
        <charset val="134"/>
        <scheme val="minor"/>
      </rPr>
      <t>Estimate to be 1.5 the RHP zero frequency *</t>
    </r>
    <r>
      <rPr>
        <b/>
        <sz val="11"/>
        <color theme="1"/>
        <rFont val="Calibri"/>
        <charset val="134"/>
        <scheme val="minor"/>
      </rPr>
      <t>Will need to updated for DCM operation</t>
    </r>
  </si>
  <si>
    <t>Vout_rip_sel</t>
  </si>
  <si>
    <t>Desired output ripple</t>
  </si>
  <si>
    <t>Itrans</t>
  </si>
  <si>
    <t>Cout_min</t>
  </si>
  <si>
    <t>Calculate minimum capacitance based simply on the capacitive ripple</t>
  </si>
  <si>
    <t>IRMS_COUT</t>
  </si>
  <si>
    <r>
      <rPr>
        <sz val="11"/>
        <color theme="1"/>
        <rFont val="Calibri"/>
        <charset val="134"/>
        <scheme val="minor"/>
      </rPr>
      <t xml:space="preserve">RMS current of the output capacitor at VIN min IOUT max. RMS current rating should be larger than this. </t>
    </r>
    <r>
      <rPr>
        <b/>
        <sz val="11"/>
        <color theme="1"/>
        <rFont val="Calibri"/>
        <charset val="134"/>
        <scheme val="minor"/>
      </rPr>
      <t>Need to update for DCM and uncoupled inductors</t>
    </r>
  </si>
  <si>
    <t>Cout</t>
  </si>
  <si>
    <t>Selected Output Capacitance</t>
  </si>
  <si>
    <t>Resr</t>
  </si>
  <si>
    <r>
      <rPr>
        <sz val="11"/>
        <color theme="1"/>
        <rFont val="Calibri"/>
        <charset val="134"/>
        <scheme val="minor"/>
      </rPr>
      <t xml:space="preserve">Selected output capacitance ESR. </t>
    </r>
    <r>
      <rPr>
        <b/>
        <sz val="11"/>
        <color theme="1"/>
        <rFont val="Calibri"/>
        <charset val="134"/>
        <scheme val="minor"/>
      </rPr>
      <t>*Need to add a requirement here for the maximum value</t>
    </r>
  </si>
  <si>
    <t>Step 6: Soft-start Capacitor selection</t>
  </si>
  <si>
    <t>SS time</t>
  </si>
  <si>
    <t>ms</t>
  </si>
  <si>
    <t>Softstart time for LM34x8</t>
  </si>
  <si>
    <t>Step 7: UVLO Resistor Selection</t>
  </si>
  <si>
    <t>No UVLO pin</t>
  </si>
  <si>
    <t>Step 8: Loop Compensation</t>
  </si>
  <si>
    <t>VIN_var</t>
  </si>
  <si>
    <r>
      <rPr>
        <sz val="11"/>
        <color theme="1"/>
        <rFont val="Calibri"/>
        <charset val="134"/>
        <scheme val="minor"/>
      </rPr>
      <t xml:space="preserve">Variable input voltage to model the loop. </t>
    </r>
    <r>
      <rPr>
        <b/>
        <sz val="11"/>
        <color theme="1"/>
        <rFont val="Calibri"/>
        <charset val="134"/>
        <scheme val="minor"/>
      </rPr>
      <t>Currently not used. Will be updated in next rev</t>
    </r>
  </si>
  <si>
    <t>Feedback resistor selection</t>
  </si>
  <si>
    <t>RFBT</t>
  </si>
  <si>
    <t>Selected by user. Feedback resistor should be &gt;100uA to help reject noise</t>
  </si>
  <si>
    <t>RFBB_CALC</t>
  </si>
  <si>
    <t>Estimated bottom feedback resistor</t>
  </si>
  <si>
    <t>RFBB</t>
  </si>
  <si>
    <t>Selected botton feedback resistor</t>
  </si>
  <si>
    <t>Ifb</t>
  </si>
  <si>
    <t>Current Drawn from the feedback resistors (Typically higher than 100uA to help w/ noise)</t>
  </si>
  <si>
    <t>Crossover Frequency Selection</t>
  </si>
  <si>
    <t>This is based on the minimum input voltage. T</t>
  </si>
  <si>
    <t>CCM Calculations</t>
  </si>
  <si>
    <t>ADC_VINmin</t>
  </si>
  <si>
    <t>wp_lf_VINmin</t>
  </si>
  <si>
    <t>rad</t>
  </si>
  <si>
    <t>Low frequency pole based on the minimum input voltage</t>
  </si>
  <si>
    <t>fp_lf_VINmin</t>
  </si>
  <si>
    <r>
      <rPr>
        <sz val="11"/>
        <color theme="1"/>
        <rFont val="Calibri"/>
        <charset val="134"/>
        <scheme val="minor"/>
      </rPr>
      <t xml:space="preserve">Plant low frequency pole. </t>
    </r>
    <r>
      <rPr>
        <b/>
        <sz val="11"/>
        <color theme="1"/>
        <rFont val="Calibri"/>
        <charset val="134"/>
        <scheme val="minor"/>
      </rPr>
      <t>IN Hz!!!</t>
    </r>
  </si>
  <si>
    <t>wz_esr_VINmin</t>
  </si>
  <si>
    <t>raf</t>
  </si>
  <si>
    <t>ESR zero based on the minimum input voltage</t>
  </si>
  <si>
    <t>fz_esr_VINmin</t>
  </si>
  <si>
    <r>
      <rPr>
        <sz val="11"/>
        <color theme="1"/>
        <rFont val="Calibri"/>
        <charset val="134"/>
        <scheme val="minor"/>
      </rPr>
      <t xml:space="preserve">Plant capacitor ESR zero </t>
    </r>
    <r>
      <rPr>
        <b/>
        <sz val="11"/>
        <color theme="1"/>
        <rFont val="Calibri"/>
        <charset val="134"/>
        <scheme val="minor"/>
      </rPr>
      <t>(In Hz)</t>
    </r>
  </si>
  <si>
    <t>wz_RHP_VINmin</t>
  </si>
  <si>
    <t>RHP_zero location based on the minimum input voltage</t>
  </si>
  <si>
    <t>fz_rhp_VINmin</t>
  </si>
  <si>
    <r>
      <rPr>
        <sz val="11"/>
        <color theme="1"/>
        <rFont val="Calibri"/>
        <charset val="134"/>
        <scheme val="minor"/>
      </rPr>
      <t xml:space="preserve">Plant RHP Zero, </t>
    </r>
    <r>
      <rPr>
        <b/>
        <sz val="11"/>
        <color theme="1"/>
        <rFont val="Calibri"/>
        <charset val="134"/>
        <scheme val="minor"/>
      </rPr>
      <t>(IN Hz)</t>
    </r>
  </si>
  <si>
    <t>1/10 the swictching frequency</t>
  </si>
  <si>
    <r>
      <rPr>
        <sz val="11"/>
        <color theme="1"/>
        <rFont val="Calibri"/>
        <charset val="134"/>
        <scheme val="minor"/>
      </rPr>
      <t xml:space="preserve">Select the lower crossover frequency </t>
    </r>
    <r>
      <rPr>
        <b/>
        <sz val="11"/>
        <color theme="1"/>
        <rFont val="Calibri"/>
        <charset val="134"/>
        <scheme val="minor"/>
      </rPr>
      <t>(typically going to set to 1/5th the RHP zero)</t>
    </r>
  </si>
  <si>
    <t>Se_VINmin</t>
  </si>
  <si>
    <t xml:space="preserve">Slope compensation </t>
  </si>
  <si>
    <t>Sn_VINmin</t>
  </si>
  <si>
    <t>Down slope at the selected input voltage</t>
  </si>
  <si>
    <t>wsl_VINmin</t>
  </si>
  <si>
    <t>Rad</t>
  </si>
  <si>
    <t>Q_VINmin</t>
  </si>
  <si>
    <t>fcross_CCM</t>
  </si>
  <si>
    <r>
      <rPr>
        <sz val="11"/>
        <color theme="1"/>
        <rFont val="Calibri"/>
        <charset val="134"/>
        <scheme val="minor"/>
      </rPr>
      <t xml:space="preserve">Conservative. Set Fcross to be 1/6th the RHP zero frequency or 1/10th SW: whichever is lower. </t>
    </r>
    <r>
      <rPr>
        <b/>
        <sz val="11"/>
        <color theme="1"/>
        <rFont val="Calibri"/>
        <charset val="134"/>
        <scheme val="minor"/>
      </rPr>
      <t>Note this is just for CCM operation</t>
    </r>
  </si>
  <si>
    <t>fz_ea_est</t>
  </si>
  <si>
    <t>This sets the error amp zero at the geometric mean between the load pole and the crossover frequency</t>
  </si>
  <si>
    <t>fp_ea_est</t>
  </si>
  <si>
    <t>This should be set at or near the lowest RHP zero Frequency</t>
  </si>
  <si>
    <t>fcross</t>
  </si>
  <si>
    <t>Set between 1/2 fsw and the RHPz in the application note. This is aggressive</t>
  </si>
  <si>
    <t>Rcomp_Calc_CCM</t>
  </si>
  <si>
    <t>Calculate on based on the desired Mid-band gain needed to set the crossover frequency</t>
  </si>
  <si>
    <t>CCOMP_calc_CCM</t>
  </si>
  <si>
    <t>Calcualted based on the desired Zero frequency. Set at the geometric mean between the crossover frequency and the load pole</t>
  </si>
  <si>
    <t>CHF_Calc_CCM</t>
  </si>
  <si>
    <t>Calcualted based on the RHP zero frequency</t>
  </si>
  <si>
    <t>DCM Selections</t>
  </si>
  <si>
    <t>*DCM operation is not modeled is disabled on the loop compensation. Needs to be modeled for a SEPIC</t>
  </si>
  <si>
    <t>Fm_DCM</t>
  </si>
  <si>
    <t>Modulator gain of the PWM comparator</t>
  </si>
  <si>
    <t>ADC_VIN_min_DCM</t>
  </si>
  <si>
    <t>wp_dcm</t>
  </si>
  <si>
    <t>wz1_dcm</t>
  </si>
  <si>
    <t>wz2_dcm</t>
  </si>
  <si>
    <t>RHP zero location</t>
  </si>
  <si>
    <t>fcross_DCM</t>
  </si>
  <si>
    <r>
      <rPr>
        <sz val="11"/>
        <color theme="1"/>
        <rFont val="Calibri"/>
        <charset val="134"/>
        <scheme val="minor"/>
      </rPr>
      <t>Crossover frequnecy of the</t>
    </r>
    <r>
      <rPr>
        <b/>
        <sz val="11"/>
        <color theme="1"/>
        <rFont val="Calibri"/>
        <charset val="134"/>
        <scheme val="minor"/>
      </rPr>
      <t xml:space="preserve"> DCM control loop</t>
    </r>
    <r>
      <rPr>
        <sz val="11"/>
        <color theme="1"/>
        <rFont val="Calibri"/>
        <charset val="134"/>
        <scheme val="minor"/>
      </rPr>
      <t>. (1/5th the RHPzero frequency), suggested</t>
    </r>
  </si>
  <si>
    <t>Gain of the plant at the crossover frequency</t>
  </si>
  <si>
    <t>Selected cross over frequency by the user.</t>
  </si>
  <si>
    <t>Rcomp_Calc_DCM</t>
  </si>
  <si>
    <t>Ohm</t>
  </si>
  <si>
    <t>CCOMP_Calc_DCM</t>
  </si>
  <si>
    <t>CHF_Calc_DCM</t>
  </si>
  <si>
    <t>General Loop Selections</t>
  </si>
  <si>
    <t>This is the output to the user based on the mode of operation when VIN is the minimum</t>
  </si>
  <si>
    <t>Desired Crossover frequency</t>
  </si>
  <si>
    <t>Rcomp_Calc</t>
  </si>
  <si>
    <t>RCOMP</t>
  </si>
  <si>
    <t>Type II compensation Resistort</t>
  </si>
  <si>
    <t>CCOMP_calc</t>
  </si>
  <si>
    <t>CCOMP</t>
  </si>
  <si>
    <t>Type II compensation Capacitor</t>
  </si>
  <si>
    <t>CHF_calc</t>
  </si>
  <si>
    <t>CHF</t>
  </si>
  <si>
    <t>Type II high frequency capacitor</t>
  </si>
  <si>
    <t>Step 7: Component Selection</t>
  </si>
  <si>
    <t>Id_AVG</t>
  </si>
  <si>
    <t xml:space="preserve">Suggested average current rating of diode. </t>
  </si>
  <si>
    <t>Vd_rect</t>
  </si>
  <si>
    <t>Rect Diode forward voltage drop</t>
  </si>
  <si>
    <t>Qrr</t>
  </si>
  <si>
    <t>C</t>
  </si>
  <si>
    <t>Shottky Reverse recovery charge</t>
  </si>
  <si>
    <t>MOSFET Parameters</t>
  </si>
  <si>
    <t>RDS_on</t>
  </si>
  <si>
    <t>Qg_tot</t>
  </si>
  <si>
    <t>Qgd</t>
  </si>
  <si>
    <t>Qgs</t>
  </si>
  <si>
    <t>Rgate</t>
  </si>
  <si>
    <t>Rgate_int</t>
  </si>
  <si>
    <t>Internal Gate resistance of the MOSFET driver.</t>
  </si>
  <si>
    <t>gfs</t>
  </si>
  <si>
    <t>Vth</t>
  </si>
  <si>
    <t>VCC</t>
  </si>
  <si>
    <t xml:space="preserve">VCC voltage. Can be changed with external bias. </t>
  </si>
  <si>
    <t>Vsp</t>
  </si>
  <si>
    <t>Gate voltage when MOSFET begins conducting current</t>
  </si>
  <si>
    <t>tr_sw</t>
  </si>
  <si>
    <t>Rise time of the switch node</t>
  </si>
  <si>
    <t>tf_sw</t>
  </si>
  <si>
    <t>Fall time of the switch node</t>
  </si>
  <si>
    <t>Check this value</t>
  </si>
  <si>
    <t>Coils are not included in the efficiency calculations</t>
  </si>
  <si>
    <t>Operation Variables</t>
  </si>
  <si>
    <t>Duty Cycle</t>
  </si>
  <si>
    <t>Inductor (Written of the switch on SEPIC)</t>
  </si>
  <si>
    <t>MOSFET</t>
  </si>
  <si>
    <t>Diode</t>
  </si>
  <si>
    <t>Other Losses</t>
  </si>
  <si>
    <t>Total Losses</t>
  </si>
  <si>
    <t>VIN</t>
  </si>
  <si>
    <t>IIN</t>
  </si>
  <si>
    <t>DCM/CCM</t>
  </si>
  <si>
    <t>DC</t>
  </si>
  <si>
    <t>DC_off</t>
  </si>
  <si>
    <t>dIL</t>
  </si>
  <si>
    <r>
      <rPr>
        <sz val="11"/>
        <color theme="1"/>
        <rFont val="Calibri"/>
        <charset val="134"/>
        <scheme val="minor"/>
      </rPr>
      <t>IL</t>
    </r>
    <r>
      <rPr>
        <vertAlign val="subscript"/>
        <sz val="11"/>
        <color theme="1"/>
        <rFont val="Calibri"/>
        <charset val="134"/>
        <scheme val="minor"/>
      </rPr>
      <t>PEAK</t>
    </r>
  </si>
  <si>
    <r>
      <rPr>
        <sz val="11"/>
        <color theme="1"/>
        <rFont val="Calibri"/>
        <charset val="134"/>
        <scheme val="minor"/>
      </rPr>
      <t>IL</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</si>
  <si>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Lac</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</si>
  <si>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L_DCR</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</si>
  <si>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L_tot</t>
    </r>
    <r>
      <rPr>
        <sz val="11"/>
        <color theme="1"/>
        <rFont val="Calibri"/>
        <charset val="134"/>
        <scheme val="minor"/>
      </rPr>
      <t xml:space="preserve"> (W)</t>
    </r>
  </si>
  <si>
    <r>
      <rPr>
        <sz val="11"/>
        <color theme="1"/>
        <rFont val="Calibri"/>
        <charset val="134"/>
        <scheme val="minor"/>
      </rPr>
      <t>ISW</t>
    </r>
    <r>
      <rPr>
        <vertAlign val="subscript"/>
        <sz val="11"/>
        <color theme="1"/>
        <rFont val="Calibri"/>
        <charset val="134"/>
        <scheme val="minor"/>
      </rPr>
      <t xml:space="preserve">AVG </t>
    </r>
    <r>
      <rPr>
        <sz val="11"/>
        <color theme="1"/>
        <rFont val="Calibri"/>
        <charset val="134"/>
        <scheme val="minor"/>
      </rPr>
      <t>(A)</t>
    </r>
  </si>
  <si>
    <r>
      <rPr>
        <sz val="11"/>
        <color theme="1"/>
        <rFont val="Calibri"/>
        <charset val="134"/>
        <scheme val="minor"/>
      </rPr>
      <t>ISW</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</si>
  <si>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 xml:space="preserve">Q_COND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</si>
  <si>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Q_SW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</si>
  <si>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Q_tot </t>
    </r>
    <r>
      <rPr>
        <sz val="11"/>
        <color theme="1"/>
        <rFont val="Calibri"/>
        <charset val="134"/>
        <scheme val="minor"/>
      </rPr>
      <t>(W)</t>
    </r>
  </si>
  <si>
    <r>
      <rPr>
        <sz val="11"/>
        <color theme="1"/>
        <rFont val="Calibri"/>
        <charset val="134"/>
        <scheme val="minor"/>
      </rPr>
      <t>ID</t>
    </r>
    <r>
      <rPr>
        <vertAlign val="subscript"/>
        <sz val="11"/>
        <color theme="1"/>
        <rFont val="Calibri"/>
        <charset val="134"/>
        <scheme val="minor"/>
      </rPr>
      <t xml:space="preserve">AVG </t>
    </r>
    <r>
      <rPr>
        <sz val="11"/>
        <color theme="1"/>
        <rFont val="Calibri"/>
        <charset val="134"/>
        <scheme val="minor"/>
      </rPr>
      <t>(A)</t>
    </r>
  </si>
  <si>
    <r>
      <rPr>
        <sz val="11"/>
        <color theme="1"/>
        <rFont val="Calibri"/>
        <charset val="134"/>
        <scheme val="minor"/>
      </rPr>
      <t>ID</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</si>
  <si>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 xml:space="preserve">D_COND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</si>
  <si>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D_SW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</si>
  <si>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D_tot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</si>
  <si>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RCS</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</si>
  <si>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G_drv</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</si>
  <si>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IQ</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</si>
  <si>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TOTAL</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</si>
  <si>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OUT</t>
    </r>
    <r>
      <rPr>
        <sz val="11"/>
        <color theme="1"/>
        <rFont val="Calibri"/>
        <charset val="134"/>
        <scheme val="minor"/>
      </rPr>
      <t xml:space="preserve"> (W)</t>
    </r>
  </si>
  <si>
    <t>Eff</t>
  </si>
  <si>
    <t>VIN_VAR</t>
  </si>
  <si>
    <t>Steps</t>
  </si>
  <si>
    <t>Step size</t>
  </si>
  <si>
    <t>Calculations</t>
  </si>
  <si>
    <t>Needs to be updated for DCM operation</t>
  </si>
  <si>
    <t>Operating mode</t>
  </si>
  <si>
    <t>Plant Transfer Function</t>
  </si>
  <si>
    <t>Error Amplifier</t>
  </si>
  <si>
    <t>CCM Open Loop Response</t>
  </si>
  <si>
    <t>DCM Open Loop Response</t>
  </si>
  <si>
    <t>Displayed Loop Calclation</t>
  </si>
  <si>
    <t>wp_lf</t>
  </si>
  <si>
    <t>wz_esr</t>
  </si>
  <si>
    <t>Sampling</t>
  </si>
  <si>
    <t>Total</t>
  </si>
  <si>
    <t>wz_RHP</t>
  </si>
  <si>
    <t>wp0_ea</t>
  </si>
  <si>
    <t>wp1_ea</t>
  </si>
  <si>
    <t>wz_ea</t>
  </si>
  <si>
    <t>ADC</t>
  </si>
  <si>
    <t>Complex</t>
  </si>
  <si>
    <t>Gain</t>
  </si>
  <si>
    <t>Phase</t>
  </si>
  <si>
    <t>COMPLEX</t>
  </si>
  <si>
    <t xml:space="preserve">Gain </t>
  </si>
  <si>
    <t>ADC_ea</t>
  </si>
  <si>
    <t>Frcoss (VIN)min</t>
  </si>
  <si>
    <t>Fcross</t>
  </si>
  <si>
    <t>Input Parameters</t>
  </si>
  <si>
    <t>XOVER SEARCH</t>
  </si>
  <si>
    <t>xover</t>
  </si>
  <si>
    <t>phase margin</t>
  </si>
  <si>
    <t xml:space="preserve"> CCMPlant Parameters</t>
  </si>
  <si>
    <t>Selected VIN</t>
  </si>
  <si>
    <t>Variable input voltage</t>
  </si>
  <si>
    <t>CCM Plant Transfer Function</t>
  </si>
  <si>
    <t>DCM Plant Transfer Function</t>
  </si>
  <si>
    <t>IOUT_VAR</t>
  </si>
  <si>
    <t>Variable output current (Can add this a different revision, not needed right now)</t>
  </si>
  <si>
    <t>DC_VIN_Var</t>
  </si>
  <si>
    <t>Frequency</t>
  </si>
  <si>
    <t>Gain(dB)</t>
  </si>
  <si>
    <t>Phase (deg)</t>
  </si>
  <si>
    <t>Gain Cross</t>
  </si>
  <si>
    <t>Phase Cross</t>
  </si>
  <si>
    <t>Output Voltage</t>
  </si>
  <si>
    <t>Component Selection</t>
  </si>
  <si>
    <t>LM</t>
  </si>
  <si>
    <t>filter Inductor</t>
  </si>
  <si>
    <t>Current sense resi</t>
  </si>
  <si>
    <t>External Slope Compensation Resistor</t>
  </si>
  <si>
    <t>Rsl_int</t>
  </si>
  <si>
    <t>Interanl Slope Compesnation Resistor</t>
  </si>
  <si>
    <t>Isl</t>
  </si>
  <si>
    <t>Interanl Slope Compesnation current</t>
  </si>
  <si>
    <t>Gcomp</t>
  </si>
  <si>
    <t>Scale down factor of the interal comp voltage divider</t>
  </si>
  <si>
    <r>
      <rPr>
        <sz val="11"/>
        <color theme="1"/>
        <rFont val="Calibri"/>
        <charset val="134"/>
        <scheme val="minor"/>
      </rPr>
      <t xml:space="preserve">0 - DCM operation, 1- CCM opertaion. </t>
    </r>
    <r>
      <rPr>
        <b/>
        <sz val="11"/>
        <color theme="1"/>
        <rFont val="Calibri"/>
        <charset val="134"/>
        <scheme val="minor"/>
      </rPr>
      <t>Always set to CCM right now</t>
    </r>
  </si>
  <si>
    <t>CCM Plan Parameters</t>
  </si>
  <si>
    <t>DC gain of the plant function</t>
  </si>
  <si>
    <t>Low Frequency Pole</t>
  </si>
  <si>
    <t>dB</t>
  </si>
  <si>
    <t>Gain of open loop at wp_Lf</t>
  </si>
  <si>
    <t>wz_rhp</t>
  </si>
  <si>
    <t>RHPz zero of boost converter</t>
  </si>
  <si>
    <t>ESR zero cause by output capacitance</t>
  </si>
  <si>
    <t>Se</t>
  </si>
  <si>
    <t>Sn</t>
  </si>
  <si>
    <t>wsl</t>
  </si>
  <si>
    <t>Q</t>
  </si>
  <si>
    <t>Compensation Components</t>
  </si>
  <si>
    <t>Top feedback resistor</t>
  </si>
  <si>
    <t>Bottom feedback resistor</t>
  </si>
  <si>
    <t>Adc_ea</t>
  </si>
  <si>
    <t>Error Amplifier Zero</t>
  </si>
  <si>
    <t>Error Amplifier pole at the origin</t>
  </si>
  <si>
    <t>Error Amplifier pole at high frequencies</t>
  </si>
  <si>
    <t xml:space="preserve"> DCMPlant Parameters</t>
  </si>
  <si>
    <t>DC_VIN_var_DCM</t>
  </si>
  <si>
    <t>Duty cycle of the converter in DCM</t>
  </si>
  <si>
    <t>"Note this include the COMP to PWM gain term (.145V/V)</t>
  </si>
  <si>
    <t>wp_lf_DCM</t>
  </si>
  <si>
    <t>EXCEL Constants / Values / IC Limits</t>
  </si>
  <si>
    <t>Excel Calculator based on LM5155 basis</t>
  </si>
  <si>
    <t xml:space="preserve">IC Duty Cycle Limitation: </t>
  </si>
  <si>
    <t>D_2p2_min</t>
  </si>
  <si>
    <t>Minimum max duty cycle at 2p2MHZ operation</t>
  </si>
  <si>
    <t>t_off_max</t>
  </si>
  <si>
    <t>Maximum forced off time</t>
  </si>
  <si>
    <t>D_2p2_nom</t>
  </si>
  <si>
    <t>T_off_nom</t>
  </si>
  <si>
    <t>nominal forced off time</t>
  </si>
  <si>
    <t>D_2p2_max</t>
  </si>
  <si>
    <t>T_off_min</t>
  </si>
  <si>
    <t>Minimum forced off time</t>
  </si>
  <si>
    <t>D_limit_min</t>
  </si>
  <si>
    <t>Min max duty cycle at low frequency</t>
  </si>
  <si>
    <t>D_limit_nom</t>
  </si>
  <si>
    <t>Nomminal max duty cycle at low frequency</t>
  </si>
  <si>
    <t>D_limit_max</t>
  </si>
  <si>
    <t>Maximum max duty cycle at low frequency</t>
  </si>
  <si>
    <t>Forced off time limit? [2 True, 1 False].</t>
  </si>
  <si>
    <t>Dc_Limit</t>
  </si>
  <si>
    <t>Max duty cycle of LM5155 at Fsw</t>
  </si>
  <si>
    <t>ton_min</t>
  </si>
  <si>
    <t>Typical Ton minimum value</t>
  </si>
  <si>
    <t>Slope Compensation</t>
  </si>
  <si>
    <t>Fsw:</t>
  </si>
  <si>
    <t>Internal slope compensation ramp</t>
  </si>
  <si>
    <t>Internal Slope compensation resistor</t>
  </si>
  <si>
    <t>Vcl</t>
  </si>
  <si>
    <t>Current Limit Value. See datsheet for Parameters</t>
  </si>
  <si>
    <t>Rsl_max</t>
  </si>
  <si>
    <t>Intenal step down of the divider</t>
  </si>
  <si>
    <t>Acs</t>
  </si>
  <si>
    <t>Current sense Amplifier Gain (1 for this device)</t>
  </si>
  <si>
    <t>Vref</t>
  </si>
  <si>
    <t>Reference voltage</t>
  </si>
  <si>
    <t>gm_ea</t>
  </si>
  <si>
    <t>A/V</t>
  </si>
  <si>
    <t>Error Amplifier Gain</t>
  </si>
  <si>
    <t>Soft-Start</t>
  </si>
  <si>
    <t>internally fixed</t>
  </si>
  <si>
    <t>UVLO Thresholds</t>
  </si>
  <si>
    <t>UV_rise</t>
  </si>
  <si>
    <t>NO UVLO PIN</t>
  </si>
  <si>
    <t>UV_fall</t>
  </si>
  <si>
    <t>UV_I_hyst</t>
  </si>
  <si>
    <t>VCC regulator</t>
  </si>
  <si>
    <t>Vcc</t>
  </si>
  <si>
    <t>Regulated output voltage of internal LDO. Can change if this is externally biased.</t>
  </si>
  <si>
    <t>IQ current</t>
  </si>
  <si>
    <t xml:space="preserve">IQ </t>
  </si>
  <si>
    <t>Non-switching IQ current</t>
  </si>
  <si>
    <t>200uA for redbull</t>
  </si>
  <si>
    <t>Operation Raange</t>
  </si>
  <si>
    <t>Vin_op_min</t>
  </si>
  <si>
    <t>Minimum operating voltage</t>
  </si>
  <si>
    <t>Vin_op_max</t>
  </si>
  <si>
    <t>Maximum BIAS pin operating voltage</t>
  </si>
  <si>
    <t>VIN_op_max_56</t>
  </si>
  <si>
    <t>Abs max BIAS</t>
  </si>
  <si>
    <t>Input Voltage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</si>
</sst>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26" formatCode="General"/>
    <numFmt numFmtId="176" formatCode="_-* #,##0.00_-;\-* #,##0.00_-;_-* &quot;-&quot;??_-;_-@_-"/>
    <numFmt numFmtId="177" formatCode="_-* #,##0.00\ &quot;zł&quot;_-;\-* #,##0.00\ &quot;zł&quot;_-;_-* &quot;-&quot;??\ &quot;zł&quot;_-;_-@_-"/>
    <numFmt numFmtId="178" formatCode="_-* #,##0_-;\-* #,##0_-;_-* &quot;-&quot;_-;_-@_-"/>
    <numFmt numFmtId="179" formatCode="_-* #,##0\ &quot;zł&quot;_-;\-* #,##0\ &quot;zł&quot;_-;_-* &quot;-&quot;\ &quot;zł&quot;_-;_-@_-"/>
    <numFmt numFmtId="180" formatCode="_(* #,##0.00_);_(* \(#,##0.00\);_(* &quot;-&quot;??_);_(@_)"/>
    <numFmt numFmtId="181" formatCode="0.000E+00"/>
    <numFmt numFmtId="182" formatCode="0.000"/>
    <numFmt numFmtId="183" formatCode="0.00000"/>
    <numFmt numFmtId="184" formatCode="0.0000E+00"/>
    <numFmt numFmtId="185" formatCode="0.0000"/>
    <numFmt numFmtId="186" formatCode="0.0"/>
    <numFmt numFmtId="187" formatCode="0.000000E+00"/>
  </numFmts>
  <fonts count="65">
    <font>
      <sz val="11"/>
      <color theme="1"/>
      <name val="Calibri"/>
      <charset val="134"/>
      <scheme val="minor"/>
    </font>
    <font>
      <b/>
      <sz val="22"/>
      <color indexed="44"/>
      <name val="Arial"/>
      <charset val="134"/>
    </font>
    <font>
      <b/>
      <sz val="10"/>
      <name val="Arial"/>
      <charset val="134"/>
    </font>
    <font>
      <sz val="10"/>
      <name val="Arial"/>
      <charset val="134"/>
    </font>
    <font>
      <b/>
      <sz val="12"/>
      <color theme="1"/>
      <name val="Calibri"/>
      <charset val="134"/>
      <scheme val="minor"/>
    </font>
    <font>
      <sz val="11"/>
      <color theme="1"/>
      <name val="Calibri"/>
      <charset val="134"/>
    </font>
    <font>
      <b/>
      <sz val="11"/>
      <color theme="1"/>
      <name val="Calibri"/>
      <charset val="134"/>
      <scheme val="minor"/>
    </font>
    <font>
      <b/>
      <sz val="10"/>
      <color rgb="FF00B0F0"/>
      <name val="Arial"/>
      <charset val="134"/>
    </font>
    <font>
      <b/>
      <sz val="11"/>
      <color rgb="FF00B0F0"/>
      <name val="Calibri"/>
      <charset val="134"/>
      <scheme val="minor"/>
    </font>
    <font>
      <b/>
      <sz val="12"/>
      <color rgb="FF00B0F0"/>
      <name val="Calibri"/>
      <charset val="134"/>
      <scheme val="minor"/>
    </font>
    <font>
      <b/>
      <sz val="12"/>
      <color rgb="FF0000FF"/>
      <name val="Arial"/>
      <charset val="134"/>
    </font>
    <font>
      <b/>
      <sz val="11"/>
      <color rgb="FF0070C0"/>
      <name val="Calibri"/>
      <charset val="134"/>
      <scheme val="minor"/>
    </font>
    <font>
      <sz val="11"/>
      <color rgb="FF0070C0"/>
      <name val="Calibri"/>
      <charset val="134"/>
      <scheme val="minor"/>
    </font>
    <font>
      <b/>
      <u/>
      <sz val="11"/>
      <color theme="1"/>
      <name val="Calibri"/>
      <charset val="134"/>
      <scheme val="minor"/>
    </font>
    <font>
      <sz val="11"/>
      <name val="Calibri"/>
      <charset val="134"/>
      <scheme val="minor"/>
    </font>
    <font>
      <u/>
      <sz val="11"/>
      <color theme="1"/>
      <name val="Calibri"/>
      <charset val="134"/>
      <scheme val="minor"/>
    </font>
    <font>
      <i/>
      <sz val="11"/>
      <color theme="1"/>
      <name val="Calibri"/>
      <charset val="134"/>
      <scheme val="minor"/>
    </font>
    <font>
      <b/>
      <sz val="11"/>
      <color theme="3" tint="0.399975585192419"/>
      <name val="Calibri"/>
      <charset val="134"/>
      <scheme val="minor"/>
    </font>
    <font>
      <sz val="10"/>
      <name val="Calibri"/>
      <charset val="134"/>
      <scheme val="minor"/>
    </font>
    <font>
      <sz val="11"/>
      <color theme="1"/>
      <name val="Arial"/>
      <charset val="134"/>
    </font>
    <font>
      <b/>
      <sz val="10"/>
      <color theme="1"/>
      <name val="Arial"/>
      <charset val="134"/>
    </font>
    <font>
      <sz val="10"/>
      <color theme="1"/>
      <name val="Arial"/>
      <charset val="134"/>
    </font>
    <font>
      <b/>
      <u/>
      <sz val="10"/>
      <color theme="10"/>
      <name val="Arial"/>
      <charset val="134"/>
    </font>
    <font>
      <b/>
      <sz val="10"/>
      <color theme="0"/>
      <name val="Arial"/>
      <charset val="134"/>
    </font>
    <font>
      <b/>
      <u/>
      <sz val="11"/>
      <color theme="10"/>
      <name val="Arial"/>
      <charset val="134"/>
    </font>
    <font>
      <sz val="28"/>
      <color theme="0"/>
      <name val="Calibri"/>
      <charset val="134"/>
      <scheme val="minor"/>
    </font>
    <font>
      <b/>
      <sz val="11"/>
      <color theme="0"/>
      <name val="Calibri"/>
      <charset val="134"/>
      <scheme val="minor"/>
    </font>
    <font>
      <u/>
      <sz val="11"/>
      <color rgb="FF800080"/>
      <name val="Calibri"/>
      <charset val="134"/>
      <scheme val="minor"/>
    </font>
    <font>
      <sz val="10"/>
      <color theme="1"/>
      <name val="Calibri"/>
      <charset val="134"/>
      <scheme val="minor"/>
    </font>
    <font>
      <sz val="11"/>
      <color rgb="FFFF0000"/>
      <name val="Calibri"/>
      <charset val="134"/>
      <scheme val="minor"/>
    </font>
    <font>
      <sz val="18"/>
      <color theme="0"/>
      <name val="Calibri"/>
      <charset val="134"/>
      <scheme val="minor"/>
    </font>
    <font>
      <b/>
      <sz val="11"/>
      <color theme="4"/>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vertAlign val="subscript"/>
      <sz val="11"/>
      <color theme="1"/>
      <name val="Calibri"/>
      <charset val="134"/>
      <scheme val="minor"/>
    </font>
    <font>
      <vertAlign val="subscript"/>
      <sz val="10"/>
      <name val="Arial"/>
      <charset val="134"/>
    </font>
    <font>
      <vertAlign val="subscript"/>
      <sz val="10"/>
      <color theme="1"/>
      <name val="Calibri"/>
      <charset val="134"/>
      <scheme val="minor"/>
    </font>
    <font>
      <vertAlign val="subscript"/>
      <sz val="11"/>
      <color theme="1"/>
      <name val="Calibri"/>
      <charset val="134"/>
    </font>
    <font>
      <b/>
      <vertAlign val="subscript"/>
      <sz val="11"/>
      <color rgb="FF0070C0"/>
      <name val="Calibri"/>
      <charset val="134"/>
      <scheme val="minor"/>
    </font>
    <font>
      <vertAlign val="subscript"/>
      <sz val="11"/>
      <name val="Calibri"/>
      <charset val="134"/>
      <scheme val="minor"/>
    </font>
    <font>
      <sz val="11"/>
      <color indexed="10"/>
      <name val="Calibri"/>
      <charset val="0"/>
      <scheme val="minor"/>
    </font>
    <font>
      <b/>
      <sz val="11"/>
      <color indexed="10"/>
      <name val="Tahoma"/>
      <charset val="134"/>
    </font>
    <font>
      <sz val="9"/>
      <name val="Tahoma"/>
      <charset val="134"/>
    </font>
    <font>
      <sz val="11"/>
      <name val="Tahoma"/>
      <charset val="134"/>
    </font>
    <font>
      <b/>
      <sz val="9"/>
      <name val="Tahoma"/>
      <charset val="134"/>
    </font>
    <font>
      <vertAlign val="subscript"/>
      <sz val="9"/>
      <name val="Tahoma"/>
      <charset val="134"/>
    </font>
    <font>
      <b/>
      <sz val="9"/>
      <color indexed="10"/>
      <name val="Tahoma"/>
      <charset val="134"/>
    </font>
    <font>
      <sz val="9"/>
      <color indexed="10"/>
      <name val="Tahoma"/>
      <charset val="134"/>
    </font>
  </fonts>
  <fills count="50">
    <fill>
      <patternFill patternType="none"/>
    </fill>
    <fill>
      <patternFill patternType="gray125"/>
    </fill>
    <fill>
      <patternFill patternType="solid">
        <fgColor indexed="8"/>
        <bgColor indexed="64"/>
      </patternFill>
    </fill>
    <fill>
      <patternFill patternType="solid">
        <fgColor indexed="22"/>
        <bgColor indexed="64"/>
      </patternFill>
    </fill>
    <fill>
      <patternFill patternType="solid">
        <fgColor indexed="52"/>
        <bgColor indexed="64"/>
      </patternFill>
    </fill>
    <fill>
      <patternFill patternType="solid">
        <fgColor indexed="5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indexed="44"/>
        <bgColor indexed="64"/>
      </patternFill>
    </fill>
    <fill>
      <patternFill patternType="solid">
        <fgColor theme="0" tint="-0.349986266670736"/>
        <bgColor indexed="64"/>
      </patternFill>
    </fill>
    <fill>
      <patternFill patternType="solid">
        <fgColor theme="5" tint="0.799981688894314"/>
        <bgColor indexed="64"/>
      </patternFill>
    </fill>
    <fill>
      <patternFill patternType="solid">
        <fgColor rgb="FFFFFF00"/>
        <bgColor indexed="64"/>
      </patternFill>
    </fill>
    <fill>
      <patternFill patternType="solid">
        <fgColor theme="0"/>
        <bgColor indexed="64"/>
      </patternFill>
    </fill>
    <fill>
      <patternFill patternType="solid">
        <fgColor rgb="FFDE0000"/>
        <bgColor indexed="64"/>
      </patternFill>
    </fill>
    <fill>
      <patternFill patternType="solid">
        <fgColor theme="1"/>
        <bgColor indexed="64"/>
      </patternFill>
    </fill>
    <fill>
      <patternFill patternType="solid">
        <fgColor theme="2" tint="-0.899990844447157"/>
        <bgColor indexed="64"/>
      </patternFill>
    </fill>
    <fill>
      <patternFill patternType="solid">
        <fgColor rgb="FFFF0000"/>
        <bgColor indexed="64"/>
      </patternFill>
    </fill>
    <fill>
      <patternFill patternType="solid">
        <fgColor theme="0" tint="-0.499984740745262"/>
        <bgColor indexed="64"/>
      </patternFill>
    </fill>
    <fill>
      <patternFill patternType="solid">
        <fgColor theme="1" tint="0.049989318521683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5">
    <border>
      <left/>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medium">
        <color auto="1"/>
      </left>
      <right/>
      <top/>
      <bottom/>
      <diagonal/>
    </border>
    <border>
      <left/>
      <right style="medium">
        <color auto="1"/>
      </right>
      <top/>
      <bottom/>
      <diagonal/>
    </border>
    <border>
      <left/>
      <right/>
      <top style="medium">
        <color auto="1"/>
      </top>
      <bottom/>
      <diagonal/>
    </border>
    <border>
      <left style="medium">
        <color auto="1"/>
      </left>
      <right/>
      <top style="medium">
        <color auto="1"/>
      </top>
      <bottom/>
      <diagonal/>
    </border>
    <border>
      <left/>
      <right style="medium">
        <color auto="1"/>
      </right>
      <top style="medium">
        <color auto="1"/>
      </top>
      <bottom/>
      <diagonal/>
    </border>
    <border>
      <left/>
      <right/>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6">
    <xf numFmtId="26"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26" fontId="32" fillId="0" borderId="0" applyNumberFormat="0" applyFill="0" applyBorder="0" applyAlignment="0" applyProtection="0"/>
    <xf numFmtId="26" fontId="33" fillId="0" borderId="0" applyNumberFormat="0" applyFill="0" applyBorder="0" applyAlignment="0" applyProtection="0">
      <alignment vertical="center"/>
    </xf>
    <xf numFmtId="26" fontId="0" fillId="20" borderId="27" applyNumberFormat="0" applyFont="0" applyAlignment="0" applyProtection="0">
      <alignment vertical="center"/>
    </xf>
    <xf numFmtId="26" fontId="34" fillId="0" borderId="0" applyNumberFormat="0" applyFill="0" applyBorder="0" applyAlignment="0" applyProtection="0">
      <alignment vertical="center"/>
    </xf>
    <xf numFmtId="26" fontId="35" fillId="0" borderId="0" applyNumberFormat="0" applyFill="0" applyBorder="0" applyAlignment="0" applyProtection="0">
      <alignment vertical="center"/>
    </xf>
    <xf numFmtId="26" fontId="36" fillId="0" borderId="0" applyNumberFormat="0" applyFill="0" applyBorder="0" applyAlignment="0" applyProtection="0">
      <alignment vertical="center"/>
    </xf>
    <xf numFmtId="26" fontId="37" fillId="0" borderId="28" applyNumberFormat="0" applyFill="0" applyAlignment="0" applyProtection="0">
      <alignment vertical="center"/>
    </xf>
    <xf numFmtId="26" fontId="38" fillId="0" borderId="28" applyNumberFormat="0" applyFill="0" applyAlignment="0" applyProtection="0">
      <alignment vertical="center"/>
    </xf>
    <xf numFmtId="26" fontId="39" fillId="0" borderId="29" applyNumberFormat="0" applyFill="0" applyAlignment="0" applyProtection="0">
      <alignment vertical="center"/>
    </xf>
    <xf numFmtId="26" fontId="39" fillId="0" borderId="0" applyNumberFormat="0" applyFill="0" applyBorder="0" applyAlignment="0" applyProtection="0">
      <alignment vertical="center"/>
    </xf>
    <xf numFmtId="26" fontId="40" fillId="21" borderId="30" applyNumberFormat="0" applyAlignment="0" applyProtection="0">
      <alignment vertical="center"/>
    </xf>
    <xf numFmtId="26" fontId="41" fillId="22" borderId="31" applyNumberFormat="0" applyAlignment="0" applyProtection="0">
      <alignment vertical="center"/>
    </xf>
    <xf numFmtId="26" fontId="42" fillId="22" borderId="30" applyNumberFormat="0" applyAlignment="0" applyProtection="0">
      <alignment vertical="center"/>
    </xf>
    <xf numFmtId="26" fontId="43" fillId="23" borderId="32" applyNumberFormat="0" applyAlignment="0" applyProtection="0">
      <alignment vertical="center"/>
    </xf>
    <xf numFmtId="26" fontId="44" fillId="0" borderId="33" applyNumberFormat="0" applyFill="0" applyAlignment="0" applyProtection="0">
      <alignment vertical="center"/>
    </xf>
    <xf numFmtId="26" fontId="45" fillId="0" borderId="34" applyNumberFormat="0" applyFill="0" applyAlignment="0" applyProtection="0">
      <alignment vertical="center"/>
    </xf>
    <xf numFmtId="26" fontId="46" fillId="24" borderId="0" applyNumberFormat="0" applyBorder="0" applyAlignment="0" applyProtection="0">
      <alignment vertical="center"/>
    </xf>
    <xf numFmtId="26" fontId="47" fillId="25" borderId="0" applyNumberFormat="0" applyBorder="0" applyAlignment="0" applyProtection="0">
      <alignment vertical="center"/>
    </xf>
    <xf numFmtId="26" fontId="48" fillId="26" borderId="0" applyNumberFormat="0" applyBorder="0" applyAlignment="0" applyProtection="0">
      <alignment vertical="center"/>
    </xf>
    <xf numFmtId="26" fontId="49" fillId="27" borderId="0" applyNumberFormat="0" applyBorder="0" applyAlignment="0" applyProtection="0">
      <alignment vertical="center"/>
    </xf>
    <xf numFmtId="26" fontId="50" fillId="28" borderId="0" applyNumberFormat="0" applyBorder="0" applyAlignment="0" applyProtection="0">
      <alignment vertical="center"/>
    </xf>
    <xf numFmtId="26" fontId="50" fillId="29" borderId="0" applyNumberFormat="0" applyBorder="0" applyAlignment="0" applyProtection="0">
      <alignment vertical="center"/>
    </xf>
    <xf numFmtId="26" fontId="49" fillId="30" borderId="0" applyNumberFormat="0" applyBorder="0" applyAlignment="0" applyProtection="0">
      <alignment vertical="center"/>
    </xf>
    <xf numFmtId="26" fontId="49" fillId="31" borderId="0" applyNumberFormat="0" applyBorder="0" applyAlignment="0" applyProtection="0">
      <alignment vertical="center"/>
    </xf>
    <xf numFmtId="26" fontId="50" fillId="11" borderId="0" applyNumberFormat="0" applyBorder="0" applyAlignment="0" applyProtection="0">
      <alignment vertical="center"/>
    </xf>
    <xf numFmtId="26" fontId="50" fillId="32" borderId="0" applyNumberFormat="0" applyBorder="0" applyAlignment="0" applyProtection="0">
      <alignment vertical="center"/>
    </xf>
    <xf numFmtId="26" fontId="49" fillId="33" borderId="0" applyNumberFormat="0" applyBorder="0" applyAlignment="0" applyProtection="0">
      <alignment vertical="center"/>
    </xf>
    <xf numFmtId="26" fontId="49" fillId="34" borderId="0" applyNumberFormat="0" applyBorder="0" applyAlignment="0" applyProtection="0">
      <alignment vertical="center"/>
    </xf>
    <xf numFmtId="26" fontId="50" fillId="35" borderId="0" applyNumberFormat="0" applyBorder="0" applyAlignment="0" applyProtection="0">
      <alignment vertical="center"/>
    </xf>
    <xf numFmtId="26" fontId="50" fillId="36" borderId="0" applyNumberFormat="0" applyBorder="0" applyAlignment="0" applyProtection="0">
      <alignment vertical="center"/>
    </xf>
    <xf numFmtId="26" fontId="49" fillId="37" borderId="0" applyNumberFormat="0" applyBorder="0" applyAlignment="0" applyProtection="0">
      <alignment vertical="center"/>
    </xf>
    <xf numFmtId="26" fontId="49" fillId="38" borderId="0" applyNumberFormat="0" applyBorder="0" applyAlignment="0" applyProtection="0">
      <alignment vertical="center"/>
    </xf>
    <xf numFmtId="26" fontId="50" fillId="39" borderId="0" applyNumberFormat="0" applyBorder="0" applyAlignment="0" applyProtection="0">
      <alignment vertical="center"/>
    </xf>
    <xf numFmtId="26" fontId="50" fillId="40" borderId="0" applyNumberFormat="0" applyBorder="0" applyAlignment="0" applyProtection="0">
      <alignment vertical="center"/>
    </xf>
    <xf numFmtId="26" fontId="49" fillId="41" borderId="0" applyNumberFormat="0" applyBorder="0" applyAlignment="0" applyProtection="0">
      <alignment vertical="center"/>
    </xf>
    <xf numFmtId="26" fontId="49" fillId="42" borderId="0" applyNumberFormat="0" applyBorder="0" applyAlignment="0" applyProtection="0">
      <alignment vertical="center"/>
    </xf>
    <xf numFmtId="26" fontId="50" fillId="43" borderId="0" applyNumberFormat="0" applyBorder="0" applyAlignment="0" applyProtection="0">
      <alignment vertical="center"/>
    </xf>
    <xf numFmtId="26" fontId="50" fillId="44" borderId="0" applyNumberFormat="0" applyBorder="0" applyAlignment="0" applyProtection="0">
      <alignment vertical="center"/>
    </xf>
    <xf numFmtId="26" fontId="49" fillId="45" borderId="0" applyNumberFormat="0" applyBorder="0" applyAlignment="0" applyProtection="0">
      <alignment vertical="center"/>
    </xf>
    <xf numFmtId="26" fontId="49" fillId="46" borderId="0" applyNumberFormat="0" applyBorder="0" applyAlignment="0" applyProtection="0">
      <alignment vertical="center"/>
    </xf>
    <xf numFmtId="26" fontId="50" fillId="47" borderId="0" applyNumberFormat="0" applyBorder="0" applyAlignment="0" applyProtection="0">
      <alignment vertical="center"/>
    </xf>
    <xf numFmtId="26" fontId="50" fillId="48" borderId="0" applyNumberFormat="0" applyBorder="0" applyAlignment="0" applyProtection="0">
      <alignment vertical="center"/>
    </xf>
    <xf numFmtId="26" fontId="49" fillId="49" borderId="0" applyNumberFormat="0" applyBorder="0" applyAlignment="0" applyProtection="0">
      <alignment vertical="center"/>
    </xf>
    <xf numFmtId="180" fontId="0" fillId="0" borderId="0" applyFont="0" applyFill="0" applyBorder="0" applyAlignment="0" applyProtection="0"/>
    <xf numFmtId="180" fontId="3" fillId="0" borderId="0" applyFont="0" applyFill="0" applyBorder="0" applyAlignment="0" applyProtection="0"/>
    <xf numFmtId="26" fontId="3" fillId="0" borderId="0"/>
    <xf numFmtId="26" fontId="0" fillId="0" borderId="0"/>
    <xf numFmtId="26" fontId="3" fillId="0" borderId="0"/>
    <xf numFmtId="26" fontId="3" fillId="0" borderId="0"/>
    <xf numFmtId="26" fontId="3" fillId="0" borderId="0"/>
  </cellStyleXfs>
  <cellXfs count="271">
    <xf numFmtId="26" fontId="0" fillId="0" borderId="0" xfId="0"/>
    <xf numFmtId="26" fontId="1" fillId="2" borderId="0" xfId="51" applyFont="1" applyFill="1" applyAlignment="1">
      <alignment horizontal="center"/>
    </xf>
    <xf numFmtId="26" fontId="2" fillId="0" borderId="0" xfId="51" applyFont="1" applyFill="1" applyAlignment="1">
      <alignment horizontal="center"/>
    </xf>
    <xf numFmtId="26" fontId="2" fillId="3" borderId="0" xfId="51" applyFont="1" applyFill="1" applyAlignment="1">
      <alignment horizontal="center"/>
    </xf>
    <xf numFmtId="26" fontId="3" fillId="0" borderId="0" xfId="51"/>
    <xf numFmtId="26" fontId="2" fillId="4" borderId="0" xfId="51" applyFont="1" applyFill="1" applyAlignment="1">
      <alignment horizontal="center"/>
    </xf>
    <xf numFmtId="26" fontId="2" fillId="5" borderId="0" xfId="51" applyFont="1" applyFill="1" applyAlignment="1">
      <alignment horizontal="center"/>
    </xf>
    <xf numFmtId="26" fontId="2" fillId="0" borderId="0" xfId="51" applyFont="1"/>
    <xf numFmtId="26" fontId="2" fillId="0" borderId="0" xfId="51" applyFont="1" applyAlignment="1">
      <alignment horizontal="center"/>
    </xf>
    <xf numFmtId="26" fontId="3" fillId="0" borderId="0" xfId="51" applyFont="1"/>
    <xf numFmtId="26" fontId="0" fillId="6" borderId="0" xfId="0" applyFill="1"/>
    <xf numFmtId="181" fontId="0" fillId="7" borderId="0" xfId="0" applyNumberFormat="1" applyFill="1"/>
    <xf numFmtId="26" fontId="0" fillId="7" borderId="0" xfId="0" applyFill="1"/>
    <xf numFmtId="26" fontId="0" fillId="0" borderId="0" xfId="0" applyFill="1"/>
    <xf numFmtId="26" fontId="4" fillId="0" borderId="0" xfId="0" applyFont="1"/>
    <xf numFmtId="26" fontId="0" fillId="8" borderId="0" xfId="0" applyFill="1"/>
    <xf numFmtId="26" fontId="5" fillId="0" borderId="0" xfId="0" applyFont="1"/>
    <xf numFmtId="26" fontId="6" fillId="0" borderId="0" xfId="0" applyFont="1"/>
    <xf numFmtId="2" fontId="0" fillId="0" borderId="0" xfId="0" applyNumberFormat="1" applyBorder="1"/>
    <xf numFmtId="26" fontId="6" fillId="7" borderId="0" xfId="0" applyFont="1" applyFill="1" applyAlignment="1">
      <alignment horizontal="center"/>
    </xf>
    <xf numFmtId="26" fontId="2" fillId="0" borderId="0" xfId="51" applyFont="1" applyFill="1" applyAlignment="1">
      <alignment horizontal="right"/>
    </xf>
    <xf numFmtId="26" fontId="3" fillId="0" borderId="0" xfId="51" applyFont="1" applyFill="1" applyAlignment="1">
      <alignment horizontal="center"/>
    </xf>
    <xf numFmtId="26" fontId="2" fillId="0" borderId="0" xfId="51" applyFont="1" applyFill="1" applyAlignment="1">
      <alignment horizontal="left"/>
    </xf>
    <xf numFmtId="26" fontId="0" fillId="0" borderId="1" xfId="0" applyBorder="1"/>
    <xf numFmtId="26" fontId="0" fillId="0" borderId="2" xfId="0" applyBorder="1"/>
    <xf numFmtId="26" fontId="6" fillId="0" borderId="3" xfId="0" applyFont="1" applyBorder="1" applyAlignment="1">
      <alignment horizontal="center"/>
    </xf>
    <xf numFmtId="26" fontId="6" fillId="0" borderId="2" xfId="0" applyFont="1" applyBorder="1" applyAlignment="1">
      <alignment horizontal="center"/>
    </xf>
    <xf numFmtId="26" fontId="6" fillId="0" borderId="1" xfId="0" applyFont="1" applyBorder="1" applyAlignment="1">
      <alignment horizontal="center"/>
    </xf>
    <xf numFmtId="26" fontId="6" fillId="0" borderId="4" xfId="0" applyFont="1" applyBorder="1" applyAlignment="1">
      <alignment horizontal="center"/>
    </xf>
    <xf numFmtId="26" fontId="6" fillId="0" borderId="0" xfId="0" applyFont="1" applyBorder="1" applyAlignment="1">
      <alignment horizontal="center"/>
    </xf>
    <xf numFmtId="26" fontId="0" fillId="0" borderId="4" xfId="0" applyBorder="1"/>
    <xf numFmtId="26" fontId="0" fillId="0" borderId="5" xfId="0" applyBorder="1"/>
    <xf numFmtId="26" fontId="0" fillId="0" borderId="0" xfId="0" applyBorder="1"/>
    <xf numFmtId="26" fontId="3" fillId="0" borderId="0" xfId="51" applyBorder="1" applyAlignment="1">
      <alignment horizontal="center"/>
    </xf>
    <xf numFmtId="26" fontId="0" fillId="0" borderId="0" xfId="0" applyBorder="1" applyAlignment="1">
      <alignment horizontal="center"/>
    </xf>
    <xf numFmtId="26" fontId="0" fillId="0" borderId="4" xfId="0" applyBorder="1" applyAlignment="1">
      <alignment horizontal="center"/>
    </xf>
    <xf numFmtId="26" fontId="0" fillId="0" borderId="5" xfId="0" applyBorder="1" applyAlignment="1">
      <alignment horizontal="center"/>
    </xf>
    <xf numFmtId="26" fontId="0" fillId="0" borderId="6" xfId="0" applyBorder="1" applyAlignment="1">
      <alignment horizontal="center"/>
    </xf>
    <xf numFmtId="26" fontId="0" fillId="0" borderId="7" xfId="0" applyBorder="1" applyAlignment="1">
      <alignment horizontal="center"/>
    </xf>
    <xf numFmtId="26" fontId="0" fillId="0" borderId="8" xfId="0" applyBorder="1" applyAlignment="1">
      <alignment horizontal="center"/>
    </xf>
    <xf numFmtId="26" fontId="0" fillId="0" borderId="0" xfId="0" applyAlignment="1">
      <alignment horizontal="center"/>
    </xf>
    <xf numFmtId="26" fontId="2" fillId="0" borderId="0" xfId="51" applyFont="1" applyFill="1"/>
    <xf numFmtId="26" fontId="3" fillId="0" borderId="0" xfId="51" applyBorder="1"/>
    <xf numFmtId="26" fontId="3" fillId="0" borderId="0" xfId="51" applyFill="1" applyBorder="1"/>
    <xf numFmtId="26" fontId="3" fillId="0" borderId="4" xfId="51" applyFill="1" applyBorder="1"/>
    <xf numFmtId="26" fontId="3" fillId="0" borderId="5" xfId="51" applyFill="1" applyBorder="1"/>
    <xf numFmtId="26" fontId="3" fillId="0" borderId="0" xfId="51" applyFont="1" applyFill="1" applyBorder="1"/>
    <xf numFmtId="26" fontId="3" fillId="0" borderId="9" xfId="51" applyFont="1" applyBorder="1"/>
    <xf numFmtId="26" fontId="3" fillId="0" borderId="10" xfId="51" applyFill="1" applyBorder="1"/>
    <xf numFmtId="26" fontId="3" fillId="0" borderId="9" xfId="51" applyFill="1" applyBorder="1"/>
    <xf numFmtId="26" fontId="3" fillId="0" borderId="11" xfId="51" applyFill="1" applyBorder="1"/>
    <xf numFmtId="182" fontId="3" fillId="0" borderId="3" xfId="51" applyNumberFormat="1" applyBorder="1"/>
    <xf numFmtId="26" fontId="3" fillId="0" borderId="3" xfId="51" applyBorder="1"/>
    <xf numFmtId="26" fontId="0" fillId="0" borderId="3" xfId="0" applyBorder="1"/>
    <xf numFmtId="26" fontId="3" fillId="0" borderId="1" xfId="51" applyBorder="1"/>
    <xf numFmtId="182" fontId="0" fillId="0" borderId="3" xfId="0" applyNumberFormat="1" applyBorder="1"/>
    <xf numFmtId="26" fontId="7" fillId="0" borderId="0" xfId="51" applyFont="1"/>
    <xf numFmtId="26" fontId="0" fillId="0" borderId="7" xfId="0" applyBorder="1"/>
    <xf numFmtId="1" fontId="0" fillId="0" borderId="8" xfId="0" applyNumberFormat="1" applyBorder="1"/>
    <xf numFmtId="182" fontId="3" fillId="0" borderId="6" xfId="51" applyNumberFormat="1" applyBorder="1"/>
    <xf numFmtId="26" fontId="3" fillId="0" borderId="6" xfId="51" applyBorder="1"/>
    <xf numFmtId="26" fontId="0" fillId="0" borderId="6" xfId="0" applyBorder="1"/>
    <xf numFmtId="26" fontId="3" fillId="0" borderId="7" xfId="51" applyBorder="1"/>
    <xf numFmtId="182" fontId="0" fillId="0" borderId="6" xfId="0" applyNumberFormat="1" applyBorder="1"/>
    <xf numFmtId="26" fontId="0" fillId="0" borderId="8" xfId="0" applyBorder="1"/>
    <xf numFmtId="1" fontId="0" fillId="0" borderId="5" xfId="0" applyNumberFormat="1" applyBorder="1"/>
    <xf numFmtId="182" fontId="3" fillId="0" borderId="0" xfId="51" applyNumberFormat="1" applyBorder="1"/>
    <xf numFmtId="26" fontId="3" fillId="0" borderId="4" xfId="51" applyBorder="1"/>
    <xf numFmtId="182" fontId="0" fillId="0" borderId="0" xfId="0" applyNumberFormat="1" applyBorder="1"/>
    <xf numFmtId="26" fontId="0" fillId="0" borderId="10" xfId="0" applyBorder="1"/>
    <xf numFmtId="1" fontId="0" fillId="0" borderId="11" xfId="0" applyNumberFormat="1" applyBorder="1"/>
    <xf numFmtId="182" fontId="3" fillId="0" borderId="9" xfId="51" applyNumberFormat="1" applyBorder="1"/>
    <xf numFmtId="26" fontId="3" fillId="0" borderId="9" xfId="51" applyBorder="1"/>
    <xf numFmtId="26" fontId="0" fillId="0" borderId="9" xfId="0" applyBorder="1"/>
    <xf numFmtId="26" fontId="3" fillId="0" borderId="10" xfId="51" applyBorder="1"/>
    <xf numFmtId="182" fontId="0" fillId="0" borderId="9" xfId="0" applyNumberFormat="1" applyBorder="1"/>
    <xf numFmtId="26" fontId="0" fillId="0" borderId="11" xfId="0" applyBorder="1"/>
    <xf numFmtId="26" fontId="0" fillId="9" borderId="0" xfId="0" applyFill="1"/>
    <xf numFmtId="2" fontId="0" fillId="0" borderId="0" xfId="0" applyNumberFormat="1"/>
    <xf numFmtId="26" fontId="8" fillId="0" borderId="0" xfId="0" applyFont="1"/>
    <xf numFmtId="26" fontId="0" fillId="0" borderId="0" xfId="0" applyProtection="1">
      <protection hidden="1"/>
    </xf>
    <xf numFmtId="2" fontId="0" fillId="0" borderId="1" xfId="0" applyNumberFormat="1" applyBorder="1"/>
    <xf numFmtId="2" fontId="0" fillId="0" borderId="4" xfId="0" applyNumberFormat="1" applyBorder="1"/>
    <xf numFmtId="2" fontId="0" fillId="0" borderId="10" xfId="0" applyNumberFormat="1" applyBorder="1"/>
    <xf numFmtId="26" fontId="3" fillId="0" borderId="9" xfId="51" applyFont="1" applyFill="1" applyBorder="1"/>
    <xf numFmtId="26" fontId="0" fillId="10" borderId="0" xfId="0" applyFill="1"/>
    <xf numFmtId="182" fontId="3" fillId="0" borderId="0" xfId="51" applyNumberFormat="1"/>
    <xf numFmtId="26" fontId="9" fillId="0" borderId="0" xfId="0" applyFont="1"/>
    <xf numFmtId="182" fontId="0" fillId="7" borderId="0" xfId="0" applyNumberFormat="1" applyFill="1"/>
    <xf numFmtId="1" fontId="0" fillId="7" borderId="0" xfId="0" applyNumberFormat="1" applyFill="1"/>
    <xf numFmtId="2" fontId="0" fillId="7" borderId="0" xfId="0" applyNumberFormat="1" applyFill="1"/>
    <xf numFmtId="26" fontId="2" fillId="0" borderId="0" xfId="0" applyFont="1" applyBorder="1"/>
    <xf numFmtId="2" fontId="3" fillId="0" borderId="0" xfId="0" applyNumberFormat="1" applyFont="1" applyBorder="1"/>
    <xf numFmtId="26" fontId="0" fillId="0" borderId="0" xfId="0" applyBorder="1" applyAlignment="1">
      <alignment horizontal="left"/>
    </xf>
    <xf numFmtId="26" fontId="2" fillId="0" borderId="0" xfId="0" applyFont="1" applyBorder="1" applyAlignment="1">
      <alignment horizontal="left"/>
    </xf>
    <xf numFmtId="182" fontId="0" fillId="0" borderId="0" xfId="0" applyNumberFormat="1"/>
    <xf numFmtId="26" fontId="0" fillId="0" borderId="12" xfId="0" applyBorder="1"/>
    <xf numFmtId="26" fontId="0" fillId="0" borderId="13" xfId="0" applyBorder="1" applyAlignment="1">
      <alignment horizontal="center"/>
    </xf>
    <xf numFmtId="26" fontId="0" fillId="0" borderId="14" xfId="0" applyBorder="1" applyAlignment="1">
      <alignment horizontal="center"/>
    </xf>
    <xf numFmtId="26" fontId="0" fillId="0" borderId="15" xfId="0" applyBorder="1" applyAlignment="1">
      <alignment horizontal="center"/>
    </xf>
    <xf numFmtId="26" fontId="0" fillId="0" borderId="13" xfId="0" applyBorder="1" applyAlignment="1">
      <alignment horizontal="center" wrapText="1"/>
    </xf>
    <xf numFmtId="26" fontId="0" fillId="0" borderId="14" xfId="0" applyBorder="1" applyAlignment="1">
      <alignment horizontal="center" wrapText="1"/>
    </xf>
    <xf numFmtId="26" fontId="0" fillId="0" borderId="15" xfId="0" applyBorder="1" applyAlignment="1">
      <alignment horizontal="center" wrapText="1"/>
    </xf>
    <xf numFmtId="26" fontId="0" fillId="0" borderId="14" xfId="0" applyBorder="1"/>
    <xf numFmtId="26" fontId="0" fillId="0" borderId="15" xfId="0" applyBorder="1"/>
    <xf numFmtId="26" fontId="0" fillId="0" borderId="16" xfId="0" applyBorder="1"/>
    <xf numFmtId="26" fontId="0" fillId="0" borderId="17" xfId="0" applyBorder="1"/>
    <xf numFmtId="26" fontId="0" fillId="0" borderId="18" xfId="0" applyBorder="1"/>
    <xf numFmtId="26" fontId="0" fillId="0" borderId="16" xfId="0" applyFill="1" applyBorder="1"/>
    <xf numFmtId="26" fontId="0" fillId="0" borderId="17" xfId="0" applyFill="1" applyBorder="1"/>
    <xf numFmtId="26" fontId="0" fillId="11" borderId="17" xfId="0" applyFill="1" applyBorder="1"/>
    <xf numFmtId="26" fontId="0" fillId="11" borderId="18" xfId="0" applyFill="1" applyBorder="1"/>
    <xf numFmtId="26" fontId="0" fillId="0" borderId="18" xfId="0" applyFill="1" applyBorder="1"/>
    <xf numFmtId="26" fontId="0" fillId="0" borderId="19" xfId="0" applyBorder="1"/>
    <xf numFmtId="26" fontId="0" fillId="0" borderId="20" xfId="0" applyBorder="1"/>
    <xf numFmtId="26" fontId="0" fillId="0" borderId="21" xfId="0" applyBorder="1"/>
    <xf numFmtId="26" fontId="10" fillId="0" borderId="0" xfId="51" applyFont="1" applyBorder="1"/>
    <xf numFmtId="26" fontId="2" fillId="0" borderId="0" xfId="51" applyFont="1" applyBorder="1"/>
    <xf numFmtId="26" fontId="2" fillId="0" borderId="0" xfId="51" applyFont="1" applyBorder="1" applyAlignment="1">
      <alignment horizontal="center"/>
    </xf>
    <xf numFmtId="2" fontId="0" fillId="8" borderId="0" xfId="0" applyNumberFormat="1" applyFill="1"/>
    <xf numFmtId="26" fontId="0" fillId="12" borderId="0" xfId="0" applyFill="1"/>
    <xf numFmtId="26" fontId="0" fillId="0" borderId="0" xfId="0" applyFont="1"/>
    <xf numFmtId="26" fontId="11" fillId="0" borderId="0" xfId="0" applyFont="1" applyFill="1" applyBorder="1"/>
    <xf numFmtId="26" fontId="12" fillId="0" borderId="0" xfId="0" applyFont="1" applyFill="1" applyBorder="1"/>
    <xf numFmtId="11" fontId="0" fillId="7" borderId="0" xfId="0" applyNumberFormat="1" applyFill="1"/>
    <xf numFmtId="26" fontId="13" fillId="0" borderId="0" xfId="0" applyFont="1"/>
    <xf numFmtId="26" fontId="0" fillId="6" borderId="0" xfId="0" applyFont="1" applyFill="1"/>
    <xf numFmtId="11" fontId="0" fillId="0" borderId="0" xfId="0" applyNumberFormat="1" applyFill="1"/>
    <xf numFmtId="11" fontId="14" fillId="8" borderId="0" xfId="0" applyNumberFormat="1" applyFont="1" applyFill="1"/>
    <xf numFmtId="11" fontId="14" fillId="0" borderId="0" xfId="0" applyNumberFormat="1" applyFont="1" applyFill="1"/>
    <xf numFmtId="26" fontId="15" fillId="0" borderId="0" xfId="0" applyFont="1"/>
    <xf numFmtId="183" fontId="0" fillId="7" borderId="0" xfId="0" applyNumberFormat="1" applyFill="1"/>
    <xf numFmtId="26" fontId="16" fillId="0" borderId="0" xfId="0" applyFont="1"/>
    <xf numFmtId="181" fontId="0" fillId="0" borderId="0" xfId="0" applyNumberFormat="1" applyFill="1"/>
    <xf numFmtId="182" fontId="0" fillId="0" borderId="0" xfId="0" applyNumberFormat="1" applyFill="1"/>
    <xf numFmtId="2" fontId="0" fillId="0" borderId="0" xfId="0" applyNumberFormat="1" applyFill="1"/>
    <xf numFmtId="184" fontId="0" fillId="7" borderId="0" xfId="0" applyNumberFormat="1" applyFill="1"/>
    <xf numFmtId="185" fontId="0" fillId="7" borderId="0" xfId="0" applyNumberFormat="1" applyFill="1"/>
    <xf numFmtId="26" fontId="14" fillId="8" borderId="0" xfId="0" applyFont="1" applyFill="1"/>
    <xf numFmtId="26" fontId="17" fillId="0" borderId="0" xfId="0" applyFont="1"/>
    <xf numFmtId="26" fontId="0" fillId="0" borderId="0" xfId="0" applyFill="1" applyBorder="1"/>
    <xf numFmtId="1" fontId="0" fillId="0" borderId="0" xfId="0" applyNumberFormat="1" applyFill="1"/>
    <xf numFmtId="26" fontId="5" fillId="0" borderId="0" xfId="0" applyFont="1" applyFill="1"/>
    <xf numFmtId="26" fontId="18" fillId="0" borderId="0" xfId="0" applyFont="1"/>
    <xf numFmtId="186" fontId="0" fillId="0" borderId="0" xfId="0" applyNumberFormat="1"/>
    <xf numFmtId="1" fontId="0" fillId="0" borderId="0" xfId="0" applyNumberFormat="1"/>
    <xf numFmtId="187" fontId="0" fillId="7" borderId="0" xfId="0" applyNumberFormat="1" applyFill="1"/>
    <xf numFmtId="26" fontId="14" fillId="0" borderId="0" xfId="0" applyFont="1"/>
    <xf numFmtId="26" fontId="3" fillId="0" borderId="0" xfId="51" applyFont="1" applyFill="1" applyBorder="1" applyAlignment="1" applyProtection="1">
      <alignment horizontal="left"/>
    </xf>
    <xf numFmtId="26" fontId="3" fillId="0" borderId="9" xfId="51" applyFont="1" applyFill="1" applyBorder="1" applyAlignment="1" applyProtection="1">
      <alignment horizontal="left"/>
    </xf>
    <xf numFmtId="26" fontId="19" fillId="13" borderId="0" xfId="0" applyFont="1" applyFill="1" applyAlignment="1">
      <alignment horizontal="center"/>
    </xf>
    <xf numFmtId="26" fontId="19" fillId="13" borderId="0" xfId="0" applyFont="1" applyFill="1" applyAlignment="1">
      <alignment horizontal="left"/>
    </xf>
    <xf numFmtId="26" fontId="19" fillId="13" borderId="0" xfId="0" applyFont="1" applyFill="1"/>
    <xf numFmtId="26" fontId="19" fillId="14" borderId="0" xfId="0" applyFont="1" applyFill="1" applyAlignment="1">
      <alignment horizontal="center"/>
    </xf>
    <xf numFmtId="26" fontId="20" fillId="13" borderId="0" xfId="0" applyFont="1" applyFill="1" applyAlignment="1">
      <alignment horizontal="center"/>
    </xf>
    <xf numFmtId="49" fontId="20" fillId="13" borderId="0" xfId="0" applyNumberFormat="1" applyFont="1" applyFill="1" applyAlignment="1">
      <alignment horizontal="left"/>
    </xf>
    <xf numFmtId="26" fontId="21" fillId="13" borderId="0" xfId="0" applyFont="1" applyFill="1"/>
    <xf numFmtId="26" fontId="22" fillId="13" borderId="0" xfId="6" applyFont="1" applyFill="1" applyBorder="1" applyAlignment="1">
      <alignment vertical="center"/>
    </xf>
    <xf numFmtId="26" fontId="22" fillId="13" borderId="0" xfId="6" applyFont="1" applyFill="1" applyBorder="1" applyAlignment="1">
      <alignment horizontal="right" vertical="center"/>
    </xf>
    <xf numFmtId="26" fontId="20" fillId="13" borderId="0" xfId="0" applyFont="1" applyFill="1" applyAlignment="1">
      <alignment horizontal="left"/>
    </xf>
    <xf numFmtId="26" fontId="21" fillId="13" borderId="0" xfId="0" applyFont="1" applyFill="1" applyAlignment="1">
      <alignment horizontal="center"/>
    </xf>
    <xf numFmtId="26" fontId="3" fillId="13" borderId="0" xfId="0" applyFont="1" applyFill="1" applyAlignment="1"/>
    <xf numFmtId="26" fontId="23" fillId="13" borderId="0" xfId="0" applyFont="1" applyFill="1" applyAlignment="1">
      <alignment horizontal="center"/>
    </xf>
    <xf numFmtId="26" fontId="23" fillId="15" borderId="0" xfId="0" applyFont="1" applyFill="1" applyAlignment="1">
      <alignment horizontal="left"/>
    </xf>
    <xf numFmtId="26" fontId="21" fillId="13" borderId="0" xfId="0" applyFont="1" applyFill="1" applyAlignment="1">
      <alignment horizontal="left"/>
    </xf>
    <xf numFmtId="49" fontId="21" fillId="13" borderId="0" xfId="0" applyNumberFormat="1" applyFont="1" applyFill="1" applyAlignment="1">
      <alignment horizontal="center"/>
    </xf>
    <xf numFmtId="26" fontId="21" fillId="13" borderId="0" xfId="0" applyFont="1" applyFill="1" applyAlignment="1">
      <alignment wrapText="1"/>
    </xf>
    <xf numFmtId="26" fontId="24" fillId="13" borderId="0" xfId="6" applyFont="1" applyFill="1" applyBorder="1" applyAlignment="1">
      <alignment vertical="center"/>
    </xf>
    <xf numFmtId="26" fontId="0" fillId="16" borderId="0" xfId="0" applyFill="1" applyBorder="1" applyProtection="1">
      <protection hidden="1"/>
    </xf>
    <xf numFmtId="26" fontId="0" fillId="16" borderId="22" xfId="0" applyFill="1" applyBorder="1" applyProtection="1">
      <protection hidden="1"/>
    </xf>
    <xf numFmtId="26" fontId="0" fillId="16" borderId="0" xfId="0" applyFill="1" applyProtection="1">
      <protection hidden="1"/>
    </xf>
    <xf numFmtId="26" fontId="0" fillId="16" borderId="0" xfId="0" applyFill="1" applyAlignment="1" applyProtection="1">
      <alignment horizontal="right"/>
      <protection hidden="1"/>
    </xf>
    <xf numFmtId="26" fontId="14" fillId="16" borderId="0" xfId="0" applyFont="1" applyFill="1" applyProtection="1">
      <protection hidden="1"/>
    </xf>
    <xf numFmtId="26" fontId="0" fillId="17" borderId="0" xfId="0" applyFill="1" applyProtection="1">
      <protection hidden="1"/>
    </xf>
    <xf numFmtId="26" fontId="25" fillId="17" borderId="0" xfId="0" applyFont="1" applyFill="1" applyAlignment="1" applyProtection="1">
      <alignment horizontal="left" vertical="center"/>
      <protection hidden="1"/>
    </xf>
    <xf numFmtId="26" fontId="0" fillId="17" borderId="0" xfId="0" applyFill="1" applyAlignment="1" applyProtection="1">
      <alignment horizontal="right"/>
      <protection hidden="1"/>
    </xf>
    <xf numFmtId="26" fontId="0" fillId="17" borderId="0" xfId="0" applyFill="1" applyBorder="1" applyProtection="1">
      <protection hidden="1"/>
    </xf>
    <xf numFmtId="26" fontId="14" fillId="18" borderId="0" xfId="0" applyFont="1" applyFill="1" applyProtection="1">
      <protection hidden="1"/>
    </xf>
    <xf numFmtId="26" fontId="0" fillId="18" borderId="0" xfId="0" applyFill="1" applyBorder="1" applyProtection="1">
      <protection hidden="1"/>
    </xf>
    <xf numFmtId="26" fontId="0" fillId="18" borderId="0" xfId="0" applyFill="1" applyBorder="1" applyAlignment="1" applyProtection="1">
      <alignment horizontal="right"/>
      <protection hidden="1"/>
    </xf>
    <xf numFmtId="26" fontId="14" fillId="18" borderId="0" xfId="0" applyFont="1" applyFill="1" applyBorder="1" applyProtection="1">
      <protection hidden="1"/>
    </xf>
    <xf numFmtId="26" fontId="26" fillId="18" borderId="0" xfId="0" applyFont="1" applyFill="1" applyBorder="1" applyProtection="1">
      <protection hidden="1"/>
    </xf>
    <xf numFmtId="26" fontId="0" fillId="12" borderId="0" xfId="0" applyFill="1" applyBorder="1" applyProtection="1">
      <protection hidden="1"/>
    </xf>
    <xf numFmtId="26" fontId="27" fillId="18" borderId="0" xfId="6" applyFont="1" applyFill="1" applyBorder="1" applyAlignment="1" applyProtection="1">
      <alignment horizontal="right"/>
      <protection locked="0"/>
    </xf>
    <xf numFmtId="26" fontId="0" fillId="18" borderId="22" xfId="0" applyFill="1" applyBorder="1" applyProtection="1">
      <protection hidden="1"/>
    </xf>
    <xf numFmtId="26" fontId="0" fillId="18" borderId="22" xfId="0" applyFill="1" applyBorder="1" applyAlignment="1" applyProtection="1">
      <alignment horizontal="right"/>
      <protection hidden="1"/>
    </xf>
    <xf numFmtId="26" fontId="14" fillId="18" borderId="22" xfId="0" applyFont="1" applyFill="1" applyBorder="1" applyProtection="1">
      <protection hidden="1"/>
    </xf>
    <xf numFmtId="26" fontId="0" fillId="13" borderId="0" xfId="0" applyFill="1" applyProtection="1">
      <protection hidden="1"/>
    </xf>
    <xf numFmtId="26" fontId="0" fillId="13" borderId="0" xfId="0" applyFill="1" applyAlignment="1" applyProtection="1">
      <alignment horizontal="right"/>
      <protection hidden="1"/>
    </xf>
    <xf numFmtId="49" fontId="0" fillId="13" borderId="0" xfId="0" applyNumberFormat="1" applyFill="1" applyProtection="1">
      <protection hidden="1"/>
    </xf>
    <xf numFmtId="26" fontId="0" fillId="13" borderId="0" xfId="0" applyFill="1" applyBorder="1" applyProtection="1">
      <protection hidden="1"/>
    </xf>
    <xf numFmtId="26" fontId="11" fillId="13" borderId="0" xfId="0" applyFont="1" applyFill="1" applyProtection="1">
      <protection hidden="1"/>
    </xf>
    <xf numFmtId="26" fontId="0" fillId="13" borderId="7" xfId="0" applyFill="1" applyBorder="1" applyProtection="1">
      <protection hidden="1"/>
    </xf>
    <xf numFmtId="26" fontId="0" fillId="13" borderId="6" xfId="0" applyFill="1" applyBorder="1" applyProtection="1">
      <protection hidden="1"/>
    </xf>
    <xf numFmtId="26" fontId="28" fillId="13" borderId="6" xfId="51" applyFont="1" applyFill="1" applyBorder="1" applyAlignment="1" applyProtection="1">
      <alignment horizontal="right"/>
      <protection hidden="1"/>
    </xf>
    <xf numFmtId="26" fontId="0" fillId="12" borderId="23" xfId="0" applyFill="1" applyBorder="1" applyProtection="1">
      <protection locked="0"/>
    </xf>
    <xf numFmtId="26" fontId="0" fillId="13" borderId="8" xfId="0" applyFill="1" applyBorder="1" applyProtection="1">
      <protection hidden="1"/>
    </xf>
    <xf numFmtId="26" fontId="0" fillId="13" borderId="4" xfId="0" applyFill="1" applyBorder="1" applyProtection="1">
      <protection hidden="1"/>
    </xf>
    <xf numFmtId="26" fontId="28" fillId="13" borderId="0" xfId="51" applyFont="1" applyFill="1" applyBorder="1" applyAlignment="1" applyProtection="1">
      <alignment horizontal="right"/>
      <protection hidden="1"/>
    </xf>
    <xf numFmtId="26" fontId="0" fillId="12" borderId="24" xfId="0" applyFill="1" applyBorder="1" applyProtection="1">
      <protection locked="0"/>
    </xf>
    <xf numFmtId="26" fontId="0" fillId="13" borderId="5" xfId="0" applyFill="1" applyBorder="1" applyProtection="1">
      <protection hidden="1"/>
    </xf>
    <xf numFmtId="2" fontId="0" fillId="13" borderId="24" xfId="0" applyNumberFormat="1" applyFill="1" applyBorder="1" applyProtection="1">
      <protection hidden="1"/>
    </xf>
    <xf numFmtId="26" fontId="0" fillId="13" borderId="24" xfId="0" applyFill="1" applyBorder="1" applyProtection="1">
      <protection hidden="1"/>
    </xf>
    <xf numFmtId="26" fontId="28" fillId="13" borderId="4" xfId="0" applyFont="1" applyFill="1" applyBorder="1" applyProtection="1">
      <protection hidden="1"/>
    </xf>
    <xf numFmtId="26" fontId="28" fillId="13" borderId="0" xfId="0" applyFont="1" applyFill="1" applyBorder="1" applyProtection="1">
      <protection hidden="1"/>
    </xf>
    <xf numFmtId="26" fontId="28" fillId="13" borderId="0" xfId="0" applyFont="1" applyFill="1" applyBorder="1" applyAlignment="1" applyProtection="1">
      <alignment horizontal="right"/>
      <protection hidden="1"/>
    </xf>
    <xf numFmtId="186" fontId="0" fillId="13" borderId="24" xfId="0" applyNumberFormat="1" applyFill="1" applyBorder="1" applyProtection="1">
      <protection hidden="1"/>
    </xf>
    <xf numFmtId="26" fontId="28" fillId="13" borderId="10" xfId="0" applyFont="1" applyFill="1" applyBorder="1" applyProtection="1">
      <protection hidden="1"/>
    </xf>
    <xf numFmtId="26" fontId="28" fillId="13" borderId="9" xfId="0" applyFont="1" applyFill="1" applyBorder="1" applyProtection="1">
      <protection hidden="1"/>
    </xf>
    <xf numFmtId="26" fontId="0" fillId="13" borderId="9" xfId="0" applyFill="1" applyBorder="1" applyProtection="1">
      <protection hidden="1"/>
    </xf>
    <xf numFmtId="26" fontId="28" fillId="13" borderId="9" xfId="0" applyFont="1" applyFill="1" applyBorder="1" applyAlignment="1" applyProtection="1">
      <alignment horizontal="right"/>
      <protection hidden="1"/>
    </xf>
    <xf numFmtId="186" fontId="0" fillId="13" borderId="25" xfId="0" applyNumberFormat="1" applyFill="1" applyBorder="1" applyProtection="1">
      <protection hidden="1"/>
    </xf>
    <xf numFmtId="26" fontId="0" fillId="13" borderId="11" xfId="0" applyFill="1" applyBorder="1" applyProtection="1">
      <protection hidden="1"/>
    </xf>
    <xf numFmtId="26" fontId="28" fillId="13" borderId="0" xfId="0" applyFont="1" applyFill="1" applyProtection="1">
      <protection hidden="1"/>
    </xf>
    <xf numFmtId="26" fontId="11" fillId="13" borderId="0" xfId="0" applyFont="1" applyFill="1" applyBorder="1" applyProtection="1">
      <protection hidden="1"/>
    </xf>
    <xf numFmtId="26" fontId="11" fillId="13" borderId="7" xfId="0" applyFont="1" applyFill="1" applyBorder="1" applyProtection="1">
      <protection hidden="1"/>
    </xf>
    <xf numFmtId="26" fontId="28" fillId="13" borderId="6" xfId="0" applyFont="1" applyFill="1" applyBorder="1" applyProtection="1">
      <protection hidden="1"/>
    </xf>
    <xf numFmtId="26" fontId="28" fillId="13" borderId="6" xfId="0" applyFont="1" applyFill="1" applyBorder="1" applyAlignment="1" applyProtection="1">
      <alignment horizontal="right"/>
      <protection hidden="1"/>
    </xf>
    <xf numFmtId="26" fontId="6" fillId="13" borderId="23" xfId="0" applyFont="1" applyFill="1" applyBorder="1" applyAlignment="1" applyProtection="1">
      <alignment horizontal="center"/>
      <protection hidden="1"/>
    </xf>
    <xf numFmtId="2" fontId="0" fillId="0" borderId="24" xfId="0" applyNumberFormat="1" applyBorder="1" applyProtection="1">
      <protection hidden="1"/>
    </xf>
    <xf numFmtId="26" fontId="0" fillId="13" borderId="10" xfId="0" applyFill="1" applyBorder="1" applyProtection="1">
      <protection hidden="1"/>
    </xf>
    <xf numFmtId="26" fontId="28" fillId="13" borderId="9" xfId="51" applyFont="1" applyFill="1" applyBorder="1" applyAlignment="1" applyProtection="1">
      <alignment horizontal="right"/>
      <protection hidden="1"/>
    </xf>
    <xf numFmtId="2" fontId="0" fillId="0" borderId="25" xfId="0" applyNumberFormat="1" applyBorder="1" applyProtection="1">
      <protection hidden="1"/>
    </xf>
    <xf numFmtId="26" fontId="0" fillId="13" borderId="0" xfId="0" applyFill="1" applyBorder="1" applyAlignment="1" applyProtection="1">
      <alignment horizontal="right"/>
      <protection hidden="1"/>
    </xf>
    <xf numFmtId="1" fontId="0" fillId="13" borderId="24" xfId="0" applyNumberFormat="1" applyFill="1" applyBorder="1" applyProtection="1">
      <protection hidden="1"/>
    </xf>
    <xf numFmtId="26" fontId="5" fillId="13" borderId="5" xfId="0" applyFont="1" applyFill="1" applyBorder="1" applyProtection="1">
      <protection hidden="1"/>
    </xf>
    <xf numFmtId="26" fontId="0" fillId="13" borderId="9" xfId="0" applyFill="1" applyBorder="1" applyAlignment="1" applyProtection="1">
      <alignment horizontal="right"/>
      <protection hidden="1"/>
    </xf>
    <xf numFmtId="2" fontId="0" fillId="13" borderId="25" xfId="0" applyNumberFormat="1" applyFill="1" applyBorder="1" applyProtection="1">
      <protection hidden="1"/>
    </xf>
    <xf numFmtId="26" fontId="5" fillId="13" borderId="11" xfId="0" applyFont="1" applyFill="1" applyBorder="1" applyProtection="1">
      <protection hidden="1"/>
    </xf>
    <xf numFmtId="26" fontId="0" fillId="13" borderId="6" xfId="0" applyFill="1" applyBorder="1" applyAlignment="1" applyProtection="1">
      <alignment horizontal="right"/>
      <protection hidden="1"/>
    </xf>
    <xf numFmtId="2" fontId="0" fillId="13" borderId="23" xfId="0" applyNumberFormat="1" applyFill="1" applyBorder="1" applyProtection="1">
      <protection hidden="1"/>
    </xf>
    <xf numFmtId="26" fontId="0" fillId="12" borderId="25" xfId="0" applyFill="1" applyBorder="1" applyProtection="1">
      <protection locked="0"/>
    </xf>
    <xf numFmtId="2" fontId="0" fillId="13" borderId="0" xfId="0" applyNumberFormat="1" applyFill="1" applyBorder="1" applyProtection="1">
      <protection hidden="1"/>
    </xf>
    <xf numFmtId="1" fontId="0" fillId="13" borderId="0" xfId="0" applyNumberFormat="1" applyFill="1" applyBorder="1" applyProtection="1">
      <protection hidden="1"/>
    </xf>
    <xf numFmtId="26" fontId="29" fillId="13" borderId="0" xfId="0" applyFont="1" applyFill="1" applyProtection="1">
      <protection hidden="1"/>
    </xf>
    <xf numFmtId="26" fontId="5" fillId="13" borderId="0" xfId="0" applyFont="1" applyFill="1" applyBorder="1" applyProtection="1">
      <protection hidden="1"/>
    </xf>
    <xf numFmtId="182" fontId="0" fillId="13" borderId="0" xfId="0" applyNumberFormat="1" applyFill="1" applyBorder="1" applyProtection="1">
      <protection hidden="1"/>
    </xf>
    <xf numFmtId="26" fontId="14" fillId="13" borderId="6" xfId="0" applyFont="1" applyFill="1" applyBorder="1" applyAlignment="1" applyProtection="1">
      <alignment horizontal="right"/>
      <protection hidden="1"/>
    </xf>
    <xf numFmtId="26" fontId="0" fillId="12" borderId="23" xfId="0" applyFont="1" applyFill="1" applyBorder="1" applyAlignment="1" applyProtection="1">
      <alignment vertical="top"/>
      <protection locked="0"/>
    </xf>
    <xf numFmtId="26" fontId="0" fillId="0" borderId="24" xfId="0" applyFont="1" applyFill="1" applyBorder="1" applyAlignment="1" applyProtection="1">
      <alignment vertical="top"/>
      <protection hidden="1"/>
    </xf>
    <xf numFmtId="26" fontId="11" fillId="13" borderId="4" xfId="0" applyFont="1" applyFill="1" applyBorder="1" applyProtection="1">
      <protection hidden="1"/>
    </xf>
    <xf numFmtId="26" fontId="6" fillId="13" borderId="0" xfId="0" applyFont="1" applyFill="1" applyBorder="1" applyAlignment="1" applyProtection="1">
      <alignment horizontal="right"/>
      <protection hidden="1"/>
    </xf>
    <xf numFmtId="182" fontId="0" fillId="13" borderId="24" xfId="0" applyNumberFormat="1" applyFill="1" applyBorder="1" applyProtection="1">
      <protection hidden="1"/>
    </xf>
    <xf numFmtId="26" fontId="0" fillId="13" borderId="0" xfId="0" applyFill="1" applyBorder="1" applyAlignment="1" applyProtection="1">
      <alignment horizontal="center"/>
      <protection hidden="1"/>
    </xf>
    <xf numFmtId="26" fontId="0" fillId="13" borderId="24" xfId="0" applyFill="1" applyBorder="1" applyAlignment="1" applyProtection="1">
      <alignment horizontal="center"/>
      <protection hidden="1"/>
    </xf>
    <xf numFmtId="26" fontId="0" fillId="13" borderId="5" xfId="0" applyFill="1" applyBorder="1" applyAlignment="1" applyProtection="1">
      <alignment horizontal="center"/>
      <protection hidden="1"/>
    </xf>
    <xf numFmtId="182" fontId="0" fillId="13" borderId="1" xfId="0" applyNumberFormat="1" applyFill="1" applyBorder="1" applyProtection="1">
      <protection hidden="1"/>
    </xf>
    <xf numFmtId="26" fontId="5" fillId="13" borderId="26" xfId="0" applyFont="1" applyFill="1" applyBorder="1" applyAlignment="1" applyProtection="1">
      <alignment horizontal="left"/>
      <protection hidden="1"/>
    </xf>
    <xf numFmtId="26" fontId="0" fillId="12" borderId="26" xfId="0" applyFill="1" applyBorder="1" applyProtection="1">
      <protection locked="0"/>
    </xf>
    <xf numFmtId="2" fontId="0" fillId="13" borderId="1" xfId="0" applyNumberFormat="1" applyFill="1" applyBorder="1" applyProtection="1">
      <protection hidden="1"/>
    </xf>
    <xf numFmtId="1" fontId="0" fillId="13" borderId="10" xfId="0" applyNumberFormat="1" applyFill="1" applyBorder="1" applyProtection="1">
      <protection hidden="1"/>
    </xf>
    <xf numFmtId="26" fontId="0" fillId="13" borderId="25" xfId="0" applyFill="1" applyBorder="1" applyAlignment="1" applyProtection="1">
      <alignment horizontal="left"/>
      <protection hidden="1"/>
    </xf>
    <xf numFmtId="1" fontId="0" fillId="13" borderId="0" xfId="0" applyNumberFormat="1" applyFill="1" applyProtection="1">
      <protection hidden="1"/>
    </xf>
    <xf numFmtId="26" fontId="0" fillId="0" borderId="0" xfId="0" applyFill="1" applyProtection="1">
      <protection hidden="1"/>
    </xf>
    <xf numFmtId="26" fontId="30" fillId="19" borderId="0" xfId="0" applyFont="1" applyFill="1" applyProtection="1">
      <protection hidden="1"/>
    </xf>
    <xf numFmtId="26" fontId="0" fillId="19" borderId="0" xfId="0" applyFill="1" applyProtection="1">
      <protection hidden="1"/>
    </xf>
    <xf numFmtId="26" fontId="0" fillId="19" borderId="0" xfId="0" applyFill="1" applyAlignment="1" applyProtection="1">
      <alignment horizontal="right"/>
      <protection hidden="1"/>
    </xf>
    <xf numFmtId="26" fontId="0" fillId="15" borderId="0" xfId="0" applyFill="1" applyProtection="1">
      <protection hidden="1"/>
    </xf>
    <xf numFmtId="26" fontId="0" fillId="15" borderId="0" xfId="0" applyFill="1" applyBorder="1" applyProtection="1">
      <protection hidden="1"/>
    </xf>
    <xf numFmtId="26" fontId="31" fillId="13" borderId="0" xfId="0" applyFont="1" applyFill="1" applyBorder="1" applyAlignment="1" applyProtection="1">
      <alignment horizontal="left"/>
      <protection hidden="1"/>
    </xf>
    <xf numFmtId="26" fontId="3" fillId="13" borderId="6" xfId="51" applyFont="1" applyFill="1" applyBorder="1" applyAlignment="1" applyProtection="1">
      <alignment horizontal="right"/>
      <protection hidden="1"/>
    </xf>
    <xf numFmtId="26" fontId="3" fillId="13" borderId="8" xfId="51" applyFont="1" applyFill="1" applyBorder="1" applyProtection="1">
      <protection hidden="1"/>
    </xf>
    <xf numFmtId="26" fontId="0" fillId="0" borderId="0" xfId="0" applyBorder="1" applyProtection="1">
      <protection hidden="1"/>
    </xf>
    <xf numFmtId="26" fontId="3" fillId="13" borderId="0" xfId="51" applyFont="1" applyFill="1" applyBorder="1" applyAlignment="1" applyProtection="1">
      <alignment horizontal="right"/>
      <protection hidden="1"/>
    </xf>
    <xf numFmtId="26" fontId="3" fillId="13" borderId="5" xfId="51" applyFont="1" applyFill="1" applyBorder="1" applyProtection="1">
      <protection hidden="1"/>
    </xf>
    <xf numFmtId="26" fontId="3" fillId="13" borderId="9" xfId="51" applyFont="1" applyFill="1" applyBorder="1" applyAlignment="1" applyProtection="1">
      <alignment horizontal="right"/>
      <protection hidden="1"/>
    </xf>
    <xf numFmtId="26" fontId="3" fillId="13" borderId="11" xfId="51" applyFont="1" applyFill="1" applyBorder="1" applyProtection="1">
      <protection hidden="1"/>
    </xf>
    <xf numFmtId="26" fontId="31" fillId="13" borderId="0" xfId="0" applyFont="1" applyFill="1" applyAlignment="1" applyProtection="1">
      <alignment horizontal="left"/>
      <protection hidden="1"/>
    </xf>
    <xf numFmtId="26" fontId="0" fillId="0" borderId="23" xfId="0" applyBorder="1" applyProtection="1">
      <protection hidden="1"/>
    </xf>
    <xf numFmtId="26" fontId="0" fillId="18" borderId="0" xfId="0" applyFill="1" applyProtection="1">
      <protection hidden="1"/>
    </xf>
    <xf numFmtId="26" fontId="0" fillId="18" borderId="0" xfId="0" applyFill="1" applyAlignment="1" applyProtection="1">
      <alignment horizontal="right"/>
      <protection hidden="1"/>
    </xf>
    <xf numFmtId="26" fontId="26" fillId="18" borderId="0" xfId="0" applyFont="1" applyFill="1" applyBorder="1" applyProtection="1" quotePrefix="1">
      <protection hidden="1"/>
    </xf>
  </cellXfs>
  <cellStyles count="56">
    <cellStyle name="Normalny" xfId="0" builtinId="0"/>
    <cellStyle name="Dziesiętny" xfId="1" builtinId="3"/>
    <cellStyle name="Walutowy" xfId="2" builtinId="4"/>
    <cellStyle name="Procentowy" xfId="3" builtinId="5"/>
    <cellStyle name="Przecinek [0]" xfId="4" builtinId="6"/>
    <cellStyle name="Waluta [0]" xfId="5" builtinId="7"/>
    <cellStyle name="Hiperłącze" xfId="6" builtinId="8"/>
    <cellStyle name="Użyte hiperłącze" xfId="7" builtinId="9"/>
    <cellStyle name="Uwaga" xfId="8" builtinId="10"/>
    <cellStyle name="Tekst ostrzeżenia" xfId="9" builtinId="11"/>
    <cellStyle name="Tytuł" xfId="10" builtinId="15"/>
    <cellStyle name="Tekst objaśnienia" xfId="11" builtinId="53"/>
    <cellStyle name="Nagłówek 1" xfId="12" builtinId="16"/>
    <cellStyle name="Nagłówek 2" xfId="13" builtinId="17"/>
    <cellStyle name="Nagłówek 3" xfId="14" builtinId="18"/>
    <cellStyle name="Nagłówek 4" xfId="15" builtinId="19"/>
    <cellStyle name="Dane wejściowe" xfId="16" builtinId="20"/>
    <cellStyle name="Dane wyjściowe" xfId="17" builtinId="21"/>
    <cellStyle name="Obliczenia" xfId="18" builtinId="22"/>
    <cellStyle name="Komórka zaznaczona" xfId="19" builtinId="23"/>
    <cellStyle name="Komórka połączona" xfId="20" builtinId="24"/>
    <cellStyle name="Suma" xfId="21" builtinId="25"/>
    <cellStyle name="Dobre" xfId="22" builtinId="26"/>
    <cellStyle name="Złe" xfId="23" builtinId="27"/>
    <cellStyle name="Neutralne" xfId="24" builtinId="28"/>
    <cellStyle name="Akcent 1" xfId="25" builtinId="29"/>
    <cellStyle name="20% - Akcent 1" xfId="26" builtinId="30"/>
    <cellStyle name="40% - Akcent 1" xfId="27" builtinId="31"/>
    <cellStyle name="60% - Akcent 1" xfId="28" builtinId="32"/>
    <cellStyle name="Akcent 2" xfId="29" builtinId="33"/>
    <cellStyle name="20% - Akcent 2" xfId="30" builtinId="34"/>
    <cellStyle name="40% - Akcent 2" xfId="31" builtinId="35"/>
    <cellStyle name="60% - Akcent 2" xfId="32" builtinId="36"/>
    <cellStyle name="Akcent 3" xfId="33" builtinId="37"/>
    <cellStyle name="20% - Akcent 3" xfId="34" builtinId="38"/>
    <cellStyle name="40% - Akcent 3" xfId="35" builtinId="39"/>
    <cellStyle name="60% - Akcent 3" xfId="36" builtinId="40"/>
    <cellStyle name="Akcent 4" xfId="37" builtinId="41"/>
    <cellStyle name="20% - Akcent 4" xfId="38" builtinId="42"/>
    <cellStyle name="40% - Akcent 4" xfId="39" builtinId="43"/>
    <cellStyle name="60% - Akcent 4" xfId="40" builtinId="44"/>
    <cellStyle name="Akcent 5" xfId="41" builtinId="45"/>
    <cellStyle name="20% - Akcent 5" xfId="42" builtinId="46"/>
    <cellStyle name="40% - Akcent 5" xfId="43" builtinId="47"/>
    <cellStyle name="60% - Akcent 5" xfId="44" builtinId="48"/>
    <cellStyle name="Akcent 6" xfId="45" builtinId="49"/>
    <cellStyle name="20% - Akcent 6" xfId="46" builtinId="50"/>
    <cellStyle name="40% - Akcent 6" xfId="47" builtinId="51"/>
    <cellStyle name="60% - Akcent 6" xfId="48" builtinId="52"/>
    <cellStyle name="Comma 2" xfId="49"/>
    <cellStyle name="Comma 3" xfId="50"/>
    <cellStyle name="Normal 2" xfId="51"/>
    <cellStyle name="Normal 3" xfId="52"/>
    <cellStyle name="Normal 4" xfId="53"/>
    <cellStyle name="Normal 4 2" xfId="54"/>
    <cellStyle name="Normal 4 3" xfId="55"/>
  </cellStyles>
  <dxfs count="3">
    <dxf>
      <fill>
        <patternFill patternType="solid">
          <bgColor rgb="FFFF0000"/>
        </patternFill>
      </fill>
    </dxf>
    <dxf>
      <font>
        <color rgb="FFFF0000"/>
      </font>
      <fill>
        <patternFill patternType="none"/>
      </fill>
    </dxf>
    <dxf>
      <fill>
        <patternFill patternType="solid">
          <bgColor rgb="FFFF0000"/>
        </patternFill>
      </fill>
    </dxf>
  </dxfs>
  <tableStyles count="0" defaultTableStyle="TableStyleMedium2" defaultPivotStyle="PivotStyleLight16"/>
  <colors>
    <mruColors>
      <color rgb="00EAEAEA"/>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customXml" Target="../customXml/item1.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600" b="1" i="0" u="none" strike="noStrike" kern="1200" baseline="0">
                <a:solidFill>
                  <a:schemeClr val="tx1"/>
                </a:solidFill>
                <a:latin typeface="+mn-lt"/>
                <a:ea typeface="+mn-ea"/>
                <a:cs typeface="+mn-cs"/>
              </a:defRPr>
            </a:pPr>
            <a:r>
              <a:rPr lang="en-US" sz="1600" baseline="0"/>
              <a:t>Bode Plot</a:t>
            </a:r>
            <a:endParaRPr lang="en-US" sz="1600" baseline="0"/>
          </a:p>
        </c:rich>
      </c:tx>
      <c:layout>
        <c:manualLayout>
          <c:xMode val="edge"/>
          <c:yMode val="edge"/>
          <c:x val="0.0943541571749534"/>
          <c:y val="0.00399160104986877"/>
        </c:manualLayout>
      </c:layout>
      <c:overlay val="0"/>
    </c:title>
    <c:autoTitleDeleted val="0"/>
    <c:plotArea>
      <c:layout>
        <c:manualLayout>
          <c:layoutTarget val="inner"/>
          <c:xMode val="edge"/>
          <c:yMode val="edge"/>
          <c:x val="0.0905940527204998"/>
          <c:y val="0.0891581080136939"/>
          <c:w val="0.809658767428918"/>
          <c:h val="0.76159168715027"/>
        </c:manualLayout>
      </c:layout>
      <c:scatterChart>
        <c:scatterStyle val="smooth"/>
        <c:varyColors val="0"/>
        <c:ser>
          <c:idx val="0"/>
          <c:order val="0"/>
          <c:tx>
            <c:strRef>
              <c:f>"Gain (dB)"</c:f>
              <c:strCache>
                <c:ptCount val="1"/>
                <c:pt idx="0">
                  <c:v>Gain (dB)</c:v>
                </c:pt>
              </c:strCache>
            </c:strRef>
          </c:tx>
          <c:spPr>
            <a:ln w="28575"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Loop_Modeling!$BL$19:$BL$560</c:f>
              <c:numCache>
                <c:formatCode>General</c:formatCode>
                <c:ptCount val="542"/>
                <c:pt idx="0">
                  <c:v>54.524655454484</c:v>
                </c:pt>
                <c:pt idx="1">
                  <c:v>54.2976400827842</c:v>
                </c:pt>
                <c:pt idx="2">
                  <c:v>54.0695338638402</c:v>
                </c:pt>
                <c:pt idx="3">
                  <c:v>53.8403003831665</c:v>
                </c:pt>
                <c:pt idx="4">
                  <c:v>53.6099026311662</c:v>
                </c:pt>
                <c:pt idx="5">
                  <c:v>53.3783030450287</c:v>
                </c:pt>
                <c:pt idx="6">
                  <c:v>53.1454635553076</c:v>
                </c:pt>
                <c:pt idx="7">
                  <c:v>52.9113456373044</c:v>
                </c:pt>
                <c:pt idx="8">
                  <c:v>52.6759103673579</c:v>
                </c:pt>
                <c:pt idx="9">
                  <c:v>52.4391184841172</c:v>
                </c:pt>
                <c:pt idx="10">
                  <c:v>52.200930454837</c:v>
                </c:pt>
                <c:pt idx="11">
                  <c:v>51.96130654671</c:v>
                </c:pt>
                <c:pt idx="12">
                  <c:v>51.720206903208</c:v>
                </c:pt>
                <c:pt idx="13">
                  <c:v>51.4775916253608</c:v>
                </c:pt>
                <c:pt idx="14">
                  <c:v>51.2334208578681</c:v>
                </c:pt>
                <c:pt idx="15">
                  <c:v>50.9876548798796</c:v>
                </c:pt>
                <c:pt idx="16">
                  <c:v>50.740254200245</c:v>
                </c:pt>
                <c:pt idx="17">
                  <c:v>50.4911796569718</c:v>
                </c:pt>
                <c:pt idx="18">
                  <c:v>50.2403925205856</c:v>
                </c:pt>
                <c:pt idx="19">
                  <c:v>49.9878546010317</c:v>
                </c:pt>
                <c:pt idx="20">
                  <c:v>49.7335283577034</c:v>
                </c:pt>
                <c:pt idx="21">
                  <c:v>49.4773770121315</c:v>
                </c:pt>
                <c:pt idx="22">
                  <c:v>49.2193646628176</c:v>
                </c:pt>
                <c:pt idx="23">
                  <c:v>48.959456401646</c:v>
                </c:pt>
                <c:pt idx="24">
                  <c:v>48.6976184312628</c:v>
                </c:pt>
                <c:pt idx="25">
                  <c:v>48.4338181827687</c:v>
                </c:pt>
                <c:pt idx="26">
                  <c:v>48.1680244330379</c:v>
                </c:pt>
                <c:pt idx="27">
                  <c:v>47.9002074209416</c:v>
                </c:pt>
                <c:pt idx="28">
                  <c:v>47.6303389617324</c:v>
                </c:pt>
                <c:pt idx="29">
                  <c:v>47.358392558829</c:v>
                </c:pt>
                <c:pt idx="30">
                  <c:v>47.0843435122325</c:v>
                </c:pt>
                <c:pt idx="31">
                  <c:v>46.8081690228037</c:v>
                </c:pt>
                <c:pt idx="32">
                  <c:v>46.5298482916444</c:v>
                </c:pt>
                <c:pt idx="33">
                  <c:v>46.2493626138383</c:v>
                </c:pt>
                <c:pt idx="34">
                  <c:v>45.9666954658429</c:v>
                </c:pt>
                <c:pt idx="35">
                  <c:v>45.6818325858555</c:v>
                </c:pt>
                <c:pt idx="36">
                  <c:v>45.3947620465267</c:v>
                </c:pt>
                <c:pt idx="37">
                  <c:v>45.1054743194516</c:v>
                </c:pt>
                <c:pt idx="38">
                  <c:v>44.8139623309309</c:v>
                </c:pt>
                <c:pt idx="39">
                  <c:v>44.5202215085681</c:v>
                </c:pt>
                <c:pt idx="40">
                  <c:v>44.2242498183475</c:v>
                </c:pt>
                <c:pt idx="41">
                  <c:v>43.9260477919197</c:v>
                </c:pt>
                <c:pt idx="42">
                  <c:v>43.6256185439127</c:v>
                </c:pt>
                <c:pt idx="43">
                  <c:v>43.3229677791759</c:v>
                </c:pt>
                <c:pt idx="44">
                  <c:v>43.0181037899554</c:v>
                </c:pt>
                <c:pt idx="45">
                  <c:v>42.7110374430966</c:v>
                </c:pt>
                <c:pt idx="46">
                  <c:v>42.4017821574572</c:v>
                </c:pt>
                <c:pt idx="47">
                  <c:v>42.0903538718027</c:v>
                </c:pt>
                <c:pt idx="48">
                  <c:v>41.7767710035457</c:v>
                </c:pt>
                <c:pt idx="49">
                  <c:v>41.4610543987629</c:v>
                </c:pt>
                <c:pt idx="50">
                  <c:v>41.1432272740016</c:v>
                </c:pt>
                <c:pt idx="51">
                  <c:v>40.8233151504526</c:v>
                </c:pt>
                <c:pt idx="52">
                  <c:v>40.5013457811196</c:v>
                </c:pt>
                <c:pt idx="53">
                  <c:v>40.1773490716701</c:v>
                </c:pt>
                <c:pt idx="54">
                  <c:v>39.8513569956846</c:v>
                </c:pt>
                <c:pt idx="55">
                  <c:v>39.5234035050581</c:v>
                </c:pt>
                <c:pt idx="56">
                  <c:v>39.19352443632</c:v>
                </c:pt>
                <c:pt idx="57">
                  <c:v>38.861757413655</c:v>
                </c:pt>
                <c:pt idx="58">
                  <c:v>38.5281417494048</c:v>
                </c:pt>
                <c:pt idx="59">
                  <c:v>38.1927183428238</c:v>
                </c:pt>
                <c:pt idx="60">
                  <c:v>37.8555295778454</c:v>
                </c:pt>
                <c:pt idx="61">
                  <c:v>37.5166192205919</c:v>
                </c:pt>
                <c:pt idx="62">
                  <c:v>37.176032317329</c:v>
                </c:pt>
                <c:pt idx="63">
                  <c:v>36.8338150935298</c:v>
                </c:pt>
                <c:pt idx="64">
                  <c:v>36.4900148546709</c:v>
                </c:pt>
                <c:pt idx="65">
                  <c:v>36.1446798893359</c:v>
                </c:pt>
                <c:pt idx="66">
                  <c:v>35.7978593751521</c:v>
                </c:pt>
                <c:pt idx="67">
                  <c:v>35.4496032880332</c:v>
                </c:pt>
                <c:pt idx="68">
                  <c:v>35.0999623151465</c:v>
                </c:pt>
                <c:pt idx="69">
                  <c:v>34.748987771968</c:v>
                </c:pt>
                <c:pt idx="70">
                  <c:v>34.3967315237328</c:v>
                </c:pt>
                <c:pt idx="71">
                  <c:v>34.0432459115345</c:v>
                </c:pt>
                <c:pt idx="72">
                  <c:v>33.6885836832702</c:v>
                </c:pt>
                <c:pt idx="73">
                  <c:v>33.3327979295799</c:v>
                </c:pt>
                <c:pt idx="74">
                  <c:v>32.9759420248742</c:v>
                </c:pt>
                <c:pt idx="75">
                  <c:v>32.6180695735004</c:v>
                </c:pt>
                <c:pt idx="76">
                  <c:v>32.259234361048</c:v>
                </c:pt>
                <c:pt idx="77">
                  <c:v>31.8994903107549</c:v>
                </c:pt>
                <c:pt idx="78">
                  <c:v>31.5388914449346</c:v>
                </c:pt>
                <c:pt idx="79">
                  <c:v>31.1774918513106</c:v>
                </c:pt>
                <c:pt idx="80">
                  <c:v>30.8153456541073</c:v>
                </c:pt>
                <c:pt idx="81">
                  <c:v>30.4525069897191</c:v>
                </c:pt>
                <c:pt idx="82">
                  <c:v>30.0890299867538</c:v>
                </c:pt>
                <c:pt idx="83">
                  <c:v>29.7249687502164</c:v>
                </c:pt>
                <c:pt idx="84">
                  <c:v>29.3603773495847</c:v>
                </c:pt>
                <c:pt idx="85">
                  <c:v>28.9953098105033</c:v>
                </c:pt>
                <c:pt idx="86">
                  <c:v>28.6298201098104</c:v>
                </c:pt>
                <c:pt idx="87">
                  <c:v>28.2639621735943</c:v>
                </c:pt>
                <c:pt idx="88">
                  <c:v>27.8977898779661</c:v>
                </c:pt>
                <c:pt idx="89">
                  <c:v>27.5313570522234</c:v>
                </c:pt>
                <c:pt idx="90">
                  <c:v>27.1647174840729</c:v>
                </c:pt>
                <c:pt idx="91">
                  <c:v>26.7979249265708</c:v>
                </c:pt>
                <c:pt idx="92">
                  <c:v>26.4310331064345</c:v>
                </c:pt>
                <c:pt idx="93">
                  <c:v>26.0640957333765</c:v>
                </c:pt>
                <c:pt idx="94">
                  <c:v>25.6971665101063</c:v>
                </c:pt>
                <c:pt idx="95">
                  <c:v>25.3302991426438</c:v>
                </c:pt>
                <c:pt idx="96">
                  <c:v>24.9635473505899</c:v>
                </c:pt>
                <c:pt idx="97">
                  <c:v>24.5969648769957</c:v>
                </c:pt>
                <c:pt idx="98">
                  <c:v>24.2306054974765</c:v>
                </c:pt>
                <c:pt idx="99">
                  <c:v>23.8645230282183</c:v>
                </c:pt>
                <c:pt idx="100">
                  <c:v>23.4987713325249</c:v>
                </c:pt>
                <c:pt idx="101">
                  <c:v>23.1334043255652</c:v>
                </c:pt>
                <c:pt idx="102">
                  <c:v>22.7684759769782</c:v>
                </c:pt>
                <c:pt idx="103">
                  <c:v>22.4040403110078</c:v>
                </c:pt>
                <c:pt idx="104">
                  <c:v>22.0401514038434</c:v>
                </c:pt>
                <c:pt idx="105">
                  <c:v>21.6768633778566</c:v>
                </c:pt>
                <c:pt idx="106">
                  <c:v>21.3142303924367</c:v>
                </c:pt>
                <c:pt idx="107">
                  <c:v>20.9523066311402</c:v>
                </c:pt>
                <c:pt idx="108">
                  <c:v>20.5911462848893</c:v>
                </c:pt>
                <c:pt idx="109">
                  <c:v>20.2308035309742</c:v>
                </c:pt>
                <c:pt idx="110">
                  <c:v>19.8713325076333</c:v>
                </c:pt>
                <c:pt idx="111">
                  <c:v>19.5127872840146</c:v>
                </c:pt>
                <c:pt idx="112">
                  <c:v>19.1552218253475</c:v>
                </c:pt>
                <c:pt idx="113">
                  <c:v>18.7986899531826</c:v>
                </c:pt>
                <c:pt idx="114">
                  <c:v>18.4432453005991</c:v>
                </c:pt>
                <c:pt idx="115">
                  <c:v>18.0889412623048</c:v>
                </c:pt>
                <c:pt idx="116">
                  <c:v>17.7358309396084</c:v>
                </c:pt>
                <c:pt idx="117">
                  <c:v>17.3839670802709</c:v>
                </c:pt>
                <c:pt idx="118">
                  <c:v>17.0334020133048</c:v>
                </c:pt>
                <c:pt idx="119">
                  <c:v>16.684187578825</c:v>
                </c:pt>
                <c:pt idx="120">
                  <c:v>16.3363750531174</c:v>
                </c:pt>
                <c:pt idx="121">
                  <c:v>15.9900150691329</c:v>
                </c:pt>
                <c:pt idx="122">
                  <c:v>15.645157532682</c:v>
                </c:pt>
                <c:pt idx="123">
                  <c:v>15.3018515346457</c:v>
                </c:pt>
                <c:pt idx="124">
                  <c:v>14.9601452595882</c:v>
                </c:pt>
                <c:pt idx="125">
                  <c:v>14.6200858911996</c:v>
                </c:pt>
                <c:pt idx="126">
                  <c:v>14.2817195150615</c:v>
                </c:pt>
                <c:pt idx="127">
                  <c:v>13.945091019273</c:v>
                </c:pt>
                <c:pt idx="128">
                  <c:v>13.6102439935255</c:v>
                </c:pt>
                <c:pt idx="129">
                  <c:v>13.2772206272645</c:v>
                </c:pt>
                <c:pt idx="130">
                  <c:v>12.9460616076118</c:v>
                </c:pt>
                <c:pt idx="131">
                  <c:v>12.6168060177603</c:v>
                </c:pt>
                <c:pt idx="132">
                  <c:v>12.2894912365824</c:v>
                </c:pt>
                <c:pt idx="133">
                  <c:v>11.9641528402146</c:v>
                </c:pt>
                <c:pt idx="134">
                  <c:v>11.6408245063953</c:v>
                </c:pt>
                <c:pt idx="135">
                  <c:v>11.3195379223384</c:v>
                </c:pt>
                <c:pt idx="136">
                  <c:v>11.0003226969212</c:v>
                </c:pt>
                <c:pt idx="137">
                  <c:v>10.6832062779557</c:v>
                </c:pt>
                <c:pt idx="138">
                  <c:v>10.3682138752839</c:v>
                </c:pt>
                <c:pt idx="139">
                  <c:v>10.0553683904128</c:v>
                </c:pt>
                <c:pt idx="140">
                  <c:v>9.74469035335632</c:v>
                </c:pt>
                <c:pt idx="141">
                  <c:v>9.43619786730732</c:v>
                </c:pt>
                <c:pt idx="142">
                  <c:v>9.12990656169729</c:v>
                </c:pt>
                <c:pt idx="143">
                  <c:v>8.8258295541388</c:v>
                </c:pt>
                <c:pt idx="144">
                  <c:v>8.52397742166574</c:v>
                </c:pt>
                <c:pt idx="145">
                  <c:v>8.22435818161273</c:v>
                </c:pt>
                <c:pt idx="146">
                  <c:v>7.926977282381</c:v>
                </c:pt>
                <c:pt idx="147">
                  <c:v>7.6318376042555</c:v>
                </c:pt>
                <c:pt idx="148">
                  <c:v>7.33893947034256</c:v>
                </c:pt>
                <c:pt idx="149">
                  <c:v>7.04828066760385</c:v>
                </c:pt>
                <c:pt idx="150">
                  <c:v>6.75985647787405</c:v>
                </c:pt>
                <c:pt idx="151">
                  <c:v>6.47365971865454</c:v>
                </c:pt>
                <c:pt idx="152">
                  <c:v>6.18968079339083</c:v>
                </c:pt>
                <c:pt idx="153">
                  <c:v>5.90790775085973</c:v>
                </c:pt>
                <c:pt idx="154">
                  <c:v>5.62832635321228</c:v>
                </c:pt>
                <c:pt idx="155">
                  <c:v>5.3509201521516</c:v>
                </c:pt>
                <c:pt idx="156">
                  <c:v>5.07567057266152</c:v>
                </c:pt>
                <c:pt idx="157">
                  <c:v>4.8025570036472</c:v>
                </c:pt>
                <c:pt idx="158">
                  <c:v>4.53155689480519</c:v>
                </c:pt>
                <c:pt idx="159">
                  <c:v>4.26264585900639</c:v>
                </c:pt>
                <c:pt idx="160">
                  <c:v>3.99579777944611</c:v>
                </c:pt>
                <c:pt idx="161">
                  <c:v>3.73098492080253</c:v>
                </c:pt>
                <c:pt idx="162">
                  <c:v>3.46817804363744</c:v>
                </c:pt>
                <c:pt idx="163">
                  <c:v>3.20734652127412</c:v>
                </c:pt>
                <c:pt idx="164">
                  <c:v>2.94845845839964</c:v>
                </c:pt>
                <c:pt idx="165">
                  <c:v>2.6914808106565</c:v>
                </c:pt>
                <c:pt idx="166">
                  <c:v>2.43637950451706</c:v>
                </c:pt>
                <c:pt idx="167">
                  <c:v>2.18311955676099</c:v>
                </c:pt>
                <c:pt idx="168">
                  <c:v>1.93166519292437</c:v>
                </c:pt>
                <c:pt idx="169">
                  <c:v>1.68197996411837</c:v>
                </c:pt>
                <c:pt idx="170">
                  <c:v>1.43402686167601</c:v>
                </c:pt>
                <c:pt idx="171">
                  <c:v>1.18776842912397</c:v>
                </c:pt>
                <c:pt idx="172">
                  <c:v>0.943166871033378</c:v>
                </c:pt>
                <c:pt idx="173">
                  <c:v>0.700184158357782</c:v>
                </c:pt>
                <c:pt idx="174">
                  <c:v>0.458782129912431</c:v>
                </c:pt>
                <c:pt idx="175">
                  <c:v>0.218922589711378</c:v>
                </c:pt>
                <c:pt idx="176">
                  <c:v>-0.0194326000782219</c:v>
                </c:pt>
                <c:pt idx="177">
                  <c:v>-0.256321430749106</c:v>
                </c:pt>
                <c:pt idx="178">
                  <c:v>-0.491781663372301</c:v>
                </c:pt>
                <c:pt idx="179">
                  <c:v>-0.725850749914895</c:v>
                </c:pt>
                <c:pt idx="180">
                  <c:v>-0.958565759205924</c:v>
                </c:pt>
                <c:pt idx="181">
                  <c:v>-1.18996330776053</c:v>
                </c:pt>
                <c:pt idx="182">
                  <c:v>-1.42007949543573</c:v>
                </c:pt>
                <c:pt idx="183">
                  <c:v>-1.64894984585875</c:v>
                </c:pt>
                <c:pt idx="184">
                  <c:v>-1.87660925153673</c:v>
                </c:pt>
                <c:pt idx="185">
                  <c:v>-2.10309192353426</c:v>
                </c:pt>
                <c:pt idx="186">
                  <c:v>-2.32843134557749</c:v>
                </c:pt>
                <c:pt idx="187">
                  <c:v>-2.55266023242791</c:v>
                </c:pt>
                <c:pt idx="188">
                  <c:v>-2.77581049235065</c:v>
                </c:pt>
                <c:pt idx="189">
                  <c:v>-2.99791319348706</c:v>
                </c:pt>
                <c:pt idx="190">
                  <c:v>-3.21899853393516</c:v>
                </c:pt>
                <c:pt idx="191">
                  <c:v>-3.43909581532757</c:v>
                </c:pt>
                <c:pt idx="192">
                  <c:v>-3.65823341969588</c:v>
                </c:pt>
                <c:pt idx="193">
                  <c:v>-3.87643878940441</c:v>
                </c:pt>
                <c:pt idx="194">
                  <c:v>-4.09373840993502</c:v>
                </c:pt>
                <c:pt idx="195">
                  <c:v>-4.31015779530671</c:v>
                </c:pt>
                <c:pt idx="196">
                  <c:v>-4.52572147591276</c:v>
                </c:pt>
                <c:pt idx="197">
                  <c:v>-4.7404529885644</c:v>
                </c:pt>
                <c:pt idx="198">
                  <c:v>-4.95437486853399</c:v>
                </c:pt>
                <c:pt idx="199">
                  <c:v>-5.16750864339258</c:v>
                </c:pt>
                <c:pt idx="200">
                  <c:v>-5.37987482845142</c:v>
                </c:pt>
                <c:pt idx="201">
                  <c:v>-5.59149292361419</c:v>
                </c:pt>
                <c:pt idx="202">
                  <c:v>-5.80238141146115</c:v>
                </c:pt>
                <c:pt idx="203">
                  <c:v>-6.0125577563944</c:v>
                </c:pt>
                <c:pt idx="204">
                  <c:v>-6.22203840467769</c:v>
                </c:pt>
                <c:pt idx="205">
                  <c:v>-6.43083878521766</c:v>
                </c:pt>
                <c:pt idx="206">
                  <c:v>-6.63897331093866</c:v>
                </c:pt>
                <c:pt idx="207">
                  <c:v>-6.84645538061597</c:v>
                </c:pt>
                <c:pt idx="208">
                  <c:v>-7.05329738103847</c:v>
                </c:pt>
                <c:pt idx="209">
                  <c:v>-7.25951068938051</c:v>
                </c:pt>
                <c:pt idx="210">
                  <c:v>-7.46510567567519</c:v>
                </c:pt>
                <c:pt idx="211">
                  <c:v>-7.67009170528646</c:v>
                </c:pt>
                <c:pt idx="212">
                  <c:v>-7.87447714128713</c:v>
                </c:pt>
                <c:pt idx="213">
                  <c:v>-8.07826934666032</c:v>
                </c:pt>
                <c:pt idx="214">
                  <c:v>-8.28147468624724</c:v>
                </c:pt>
                <c:pt idx="215">
                  <c:v>-8.4840985283764</c:v>
                </c:pt>
                <c:pt idx="216">
                  <c:v>-8.68614524611185</c:v>
                </c:pt>
                <c:pt idx="217">
                  <c:v>-8.88761821807379</c:v>
                </c:pt>
                <c:pt idx="218">
                  <c:v>-9.08851982878484</c:v>
                </c:pt>
                <c:pt idx="219">
                  <c:v>-9.28885146850907</c:v>
                </c:pt>
                <c:pt idx="220">
                  <c:v>-9.48861353255552</c:v>
                </c:pt>
                <c:pt idx="221">
                  <c:v>-9.68780542002751</c:v>
                </c:pt>
                <c:pt idx="222">
                  <c:v>-9.88642553200397</c:v>
                </c:pt>
                <c:pt idx="223">
                  <c:v>-10.0844712691507</c:v>
                </c:pt>
                <c:pt idx="224">
                  <c:v>-10.2819390287644</c:v>
                </c:pt>
                <c:pt idx="225">
                  <c:v>-10.4788242012603</c:v>
                </c:pt>
                <c:pt idx="226">
                  <c:v>-10.6751211661233</c:v>
                </c:pt>
                <c:pt idx="227">
                  <c:v>-10.8708232873507</c:v>
                </c:pt>
                <c:pt idx="228">
                  <c:v>-11.0659229084207</c:v>
                </c:pt>
                <c:pt idx="229">
                  <c:v>-11.2604113468332</c:v>
                </c:pt>
                <c:pt idx="230">
                  <c:v>-11.4542788882737</c:v>
                </c:pt>
                <c:pt idx="231">
                  <c:v>-11.6475147804624</c:v>
                </c:pt>
                <c:pt idx="232">
                  <c:v>-11.8401072267622</c:v>
                </c:pt>
                <c:pt idx="233">
                  <c:v>-12.0320433796224</c:v>
                </c:pt>
                <c:pt idx="234">
                  <c:v>-12.2233093339512</c:v>
                </c:pt>
                <c:pt idx="235">
                  <c:v>-12.4138901205176</c:v>
                </c:pt>
                <c:pt idx="236">
                  <c:v>-12.6037696994929</c:v>
                </c:pt>
                <c:pt idx="237">
                  <c:v>-12.7929309542541</c:v>
                </c:pt>
                <c:pt idx="238">
                  <c:v>-12.9813556855838</c:v>
                </c:pt>
                <c:pt idx="239">
                  <c:v>-13.1690246064093</c:v>
                </c:pt>
                <c:pt idx="240">
                  <c:v>-13.3559173372398</c:v>
                </c:pt>
                <c:pt idx="241">
                  <c:v>-13.5420124024677</c:v>
                </c:pt>
                <c:pt idx="242">
                  <c:v>-13.7272872277179</c:v>
                </c:pt>
                <c:pt idx="243">
                  <c:v>-13.9117181384349</c:v>
                </c:pt>
                <c:pt idx="244">
                  <c:v>-14.0952803599172</c:v>
                </c:pt>
                <c:pt idx="245">
                  <c:v>-14.2779480190122</c:v>
                </c:pt>
                <c:pt idx="246">
                  <c:v>-14.4596941477069</c:v>
                </c:pt>
                <c:pt idx="247">
                  <c:v>-14.6404906888533</c:v>
                </c:pt>
                <c:pt idx="248">
                  <c:v>-14.8203085042822</c:v>
                </c:pt>
                <c:pt idx="249">
                  <c:v>-14.9991173855732</c:v>
                </c:pt>
                <c:pt idx="250">
                  <c:v>-15.1768860677512</c:v>
                </c:pt>
                <c:pt idx="251">
                  <c:v>-15.3535822461974</c:v>
                </c:pt>
                <c:pt idx="252">
                  <c:v>-15.5291725970653</c:v>
                </c:pt>
                <c:pt idx="253">
                  <c:v>-15.7036228014988</c:v>
                </c:pt>
                <c:pt idx="254">
                  <c:v>-15.8768975739594</c:v>
                </c:pt>
                <c:pt idx="255">
                  <c:v>-16.0489606949637</c:v>
                </c:pt>
                <c:pt idx="256">
                  <c:v>-16.2197750485433</c:v>
                </c:pt>
                <c:pt idx="257">
                  <c:v>-16.3893026647249</c:v>
                </c:pt>
                <c:pt idx="258">
                  <c:v>-16.5575047673358</c:v>
                </c:pt>
                <c:pt idx="259">
                  <c:v>-16.72434182742</c:v>
                </c:pt>
                <c:pt idx="260">
                  <c:v>-16.8897736225463</c:v>
                </c:pt>
                <c:pt idx="261">
                  <c:v>-17.0537593022675</c:v>
                </c:pt>
                <c:pt idx="262">
                  <c:v>-17.2162574599739</c:v>
                </c:pt>
                <c:pt idx="263">
                  <c:v>-17.3772262113538</c:v>
                </c:pt>
                <c:pt idx="264">
                  <c:v>-17.5366232796485</c:v>
                </c:pt>
                <c:pt idx="265">
                  <c:v>-17.69440608785</c:v>
                </c:pt>
                <c:pt idx="266">
                  <c:v>-17.8505318579493</c:v>
                </c:pt>
                <c:pt idx="267">
                  <c:v>-18.0049577172982</c:v>
                </c:pt>
                <c:pt idx="268">
                  <c:v>-18.1576408120921</c:v>
                </c:pt>
                <c:pt idx="269">
                  <c:v>-18.3085384279278</c:v>
                </c:pt>
                <c:pt idx="270">
                  <c:v>-18.4576081173223</c:v>
                </c:pt>
                <c:pt idx="271">
                  <c:v>-18.6048078340122</c:v>
                </c:pt>
                <c:pt idx="272">
                  <c:v>-18.7500960737816</c:v>
                </c:pt>
                <c:pt idx="273">
                  <c:v>-18.8934320214825</c:v>
                </c:pt>
                <c:pt idx="274">
                  <c:v>-19.0347757038371</c:v>
                </c:pt>
                <c:pt idx="275">
                  <c:v>-19.174088147521</c:v>
                </c:pt>
                <c:pt idx="276">
                  <c:v>-19.3113315419395</c:v>
                </c:pt>
                <c:pt idx="277">
                  <c:v>-19.4464694060266</c:v>
                </c:pt>
                <c:pt idx="278">
                  <c:v>-19.5794667582982</c:v>
                </c:pt>
                <c:pt idx="279">
                  <c:v>-19.7102902893147</c:v>
                </c:pt>
                <c:pt idx="280">
                  <c:v>-19.8389085356171</c:v>
                </c:pt>
                <c:pt idx="281">
                  <c:v>-19.9652920541239</c:v>
                </c:pt>
                <c:pt idx="282">
                  <c:v>-20.0894135959037</c:v>
                </c:pt>
                <c:pt idx="283">
                  <c:v>-20.2112482781717</c:v>
                </c:pt>
                <c:pt idx="284">
                  <c:v>-20.3307737533019</c:v>
                </c:pt>
                <c:pt idx="285">
                  <c:v>-20.4479703736047</c:v>
                </c:pt>
                <c:pt idx="286">
                  <c:v>-20.5628213505839</c:v>
                </c:pt>
                <c:pt idx="287">
                  <c:v>-20.6753129073738</c:v>
                </c:pt>
                <c:pt idx="288">
                  <c:v>-20.7854344230516</c:v>
                </c:pt>
                <c:pt idx="289">
                  <c:v>-20.8931785675364</c:v>
                </c:pt>
                <c:pt idx="290">
                  <c:v>-20.9985414258213</c:v>
                </c:pt>
                <c:pt idx="291">
                  <c:v>-21.1015226103304</c:v>
                </c:pt>
                <c:pt idx="292">
                  <c:v>-21.2021253602687</c:v>
                </c:pt>
                <c:pt idx="293">
                  <c:v>-21.3003566269132</c:v>
                </c:pt>
                <c:pt idx="294">
                  <c:v>-21.3962271439068</c:v>
                </c:pt>
                <c:pt idx="295">
                  <c:v>-21.4897514817326</c:v>
                </c:pt>
                <c:pt idx="296">
                  <c:v>-21.5809480856885</c:v>
                </c:pt>
                <c:pt idx="297">
                  <c:v>-21.6698392968314</c:v>
                </c:pt>
                <c:pt idx="298">
                  <c:v>-21.7564513555262</c:v>
                </c:pt>
                <c:pt idx="299">
                  <c:v>-21.8408143874058</c:v>
                </c:pt>
                <c:pt idx="300">
                  <c:v>-21.92296237173</c:v>
                </c:pt>
                <c:pt idx="301">
                  <c:v>-22.0029330923106</c:v>
                </c:pt>
                <c:pt idx="302">
                  <c:v>-22.0807680713594</c:v>
                </c:pt>
                <c:pt idx="303">
                  <c:v>-22.1565124867897</c:v>
                </c:pt>
                <c:pt idx="304">
                  <c:v>-22.2302150736809</c:v>
                </c:pt>
                <c:pt idx="305">
                  <c:v>-22.3019280107803</c:v>
                </c:pt>
                <c:pt idx="306">
                  <c:v>-22.3717067930662</c:v>
                </c:pt>
                <c:pt idx="307">
                  <c:v>-22.4396100915367</c:v>
                </c:pt>
                <c:pt idx="308">
                  <c:v>-22.5056996015094</c:v>
                </c:pt>
                <c:pt idx="309">
                  <c:v>-22.5700398808109</c:v>
                </c:pt>
                <c:pt idx="310">
                  <c:v>-22.6326981793215</c:v>
                </c:pt>
                <c:pt idx="311">
                  <c:v>-22.6937442613905</c:v>
                </c:pt>
                <c:pt idx="312">
                  <c:v>-22.753250222672</c:v>
                </c:pt>
                <c:pt idx="313">
                  <c:v>-22.8112903029365</c:v>
                </c:pt>
                <c:pt idx="314">
                  <c:v>-22.8679406964042</c:v>
                </c:pt>
                <c:pt idx="315">
                  <c:v>-22.9232793611013</c:v>
                </c:pt>
                <c:pt idx="316">
                  <c:v>-22.9773858286858</c:v>
                </c:pt>
                <c:pt idx="317">
                  <c:v>-23.0303410161092</c:v>
                </c:pt>
                <c:pt idx="318">
                  <c:v>-23.0822270403823</c:v>
                </c:pt>
                <c:pt idx="319">
                  <c:v>-23.1331270376029</c:v>
                </c:pt>
                <c:pt idx="320">
                  <c:v>-23.1831249872786</c:v>
                </c:pt>
                <c:pt idx="321">
                  <c:v>-23.2323055428389</c:v>
                </c:pt>
                <c:pt idx="322">
                  <c:v>-23.2807538690921</c:v>
                </c:pt>
                <c:pt idx="323">
                  <c:v>-23.3285554872354</c:v>
                </c:pt>
                <c:pt idx="324">
                  <c:v>-23.3757961278725</c:v>
                </c:pt>
                <c:pt idx="325">
                  <c:v>-23.4225615923544</c:v>
                </c:pt>
                <c:pt idx="326">
                  <c:v>-23.4689376226028</c:v>
                </c:pt>
                <c:pt idx="327">
                  <c:v>-23.5150097794481</c:v>
                </c:pt>
                <c:pt idx="328">
                  <c:v>-23.5608633293749</c:v>
                </c:pt>
                <c:pt idx="329">
                  <c:v>-23.6065831394508</c:v>
                </c:pt>
                <c:pt idx="330">
                  <c:v>-23.6522535801023</c:v>
                </c:pt>
                <c:pt idx="331">
                  <c:v>-23.6979584353031</c:v>
                </c:pt>
                <c:pt idx="332">
                  <c:v>-23.7437808196597</c:v>
                </c:pt>
                <c:pt idx="333">
                  <c:v>-23.7898031018006</c:v>
                </c:pt>
                <c:pt idx="334">
                  <c:v>-23.8361068334284</c:v>
                </c:pt>
                <c:pt idx="335">
                  <c:v>-23.8827726833446</c:v>
                </c:pt>
                <c:pt idx="336">
                  <c:v>-23.9298803757335</c:v>
                </c:pt>
                <c:pt idx="337">
                  <c:v>-23.9775086319782</c:v>
                </c:pt>
                <c:pt idx="338">
                  <c:v>-24.0257351152783</c:v>
                </c:pt>
                <c:pt idx="339">
                  <c:v>-24.0746363773586</c:v>
                </c:pt>
                <c:pt idx="340">
                  <c:v>-24.1242878065754</c:v>
                </c:pt>
                <c:pt idx="341">
                  <c:v>-24.1747635767723</c:v>
                </c:pt>
                <c:pt idx="342">
                  <c:v>-24.2261365962755</c:v>
                </c:pt>
                <c:pt idx="343">
                  <c:v>-24.2784784564837</c:v>
                </c:pt>
                <c:pt idx="344">
                  <c:v>-24.3318593795665</c:v>
                </c:pt>
                <c:pt idx="345">
                  <c:v>-24.3863481648561</c:v>
                </c:pt>
                <c:pt idx="346">
                  <c:v>-24.4420121336018</c:v>
                </c:pt>
                <c:pt idx="347">
                  <c:v>-24.4989170718284</c:v>
                </c:pt>
                <c:pt idx="348">
                  <c:v>-24.5571271711329</c:v>
                </c:pt>
                <c:pt idx="349">
                  <c:v>-24.6167049673395</c:v>
                </c:pt>
                <c:pt idx="350">
                  <c:v>-24.6777112770174</c:v>
                </c:pt>
                <c:pt idx="351">
                  <c:v>-24.7402051319604</c:v>
                </c:pt>
                <c:pt idx="352">
                  <c:v>-24.8042437118079</c:v>
                </c:pt>
                <c:pt idx="353">
                  <c:v>-24.8698822750735</c:v>
                </c:pt>
                <c:pt idx="354">
                  <c:v>-24.9371740889264</c:v>
                </c:pt>
                <c:pt idx="355">
                  <c:v>-25.006170358144</c:v>
                </c:pt>
                <c:pt idx="356">
                  <c:v>-25.0769201537245</c:v>
                </c:pt>
                <c:pt idx="357">
                  <c:v>-25.1494703417044</c:v>
                </c:pt>
                <c:pt idx="358">
                  <c:v>-25.2238655127857</c:v>
                </c:pt>
                <c:pt idx="359">
                  <c:v>-25.300147913411</c:v>
                </c:pt>
                <c:pt idx="360">
                  <c:v>-25.3783573789687</c:v>
                </c:pt>
                <c:pt idx="361">
                  <c:v>-25.4585312698232</c:v>
                </c:pt>
                <c:pt idx="362">
                  <c:v>-25.5407044108857</c:v>
                </c:pt>
                <c:pt idx="363">
                  <c:v>-25.6249090354356</c:v>
                </c:pt>
                <c:pt idx="364">
                  <c:v>-25.711174733895</c:v>
                </c:pt>
                <c:pt idx="365">
                  <c:v>-25.7995284082372</c:v>
                </c:pt>
                <c:pt idx="366">
                  <c:v>-25.8899942326737</c:v>
                </c:pt>
                <c:pt idx="367">
                  <c:v>-25.9825936212272</c:v>
                </c:pt>
                <c:pt idx="368">
                  <c:v>-26.0773452027366</c:v>
                </c:pt>
                <c:pt idx="369">
                  <c:v>-26.1742648037852</c:v>
                </c:pt>
                <c:pt idx="370">
                  <c:v>-26.2733654399688</c:v>
                </c:pt>
                <c:pt idx="371">
                  <c:v>-26.3746573158427</c:v>
                </c:pt>
                <c:pt idx="372">
                  <c:v>-26.4781478338075</c:v>
                </c:pt>
                <c:pt idx="373">
                  <c:v>-26.5838416121018</c:v>
                </c:pt>
                <c:pt idx="374">
                  <c:v>-26.6917405119844</c:v>
                </c:pt>
                <c:pt idx="375">
                  <c:v>-26.8018436740935</c:v>
                </c:pt>
                <c:pt idx="376">
                  <c:v>-26.914147563883</c:v>
                </c:pt>
                <c:pt idx="377">
                  <c:v>-27.0286460259458</c:v>
                </c:pt>
                <c:pt idx="378">
                  <c:v>-27.1453303469465</c:v>
                </c:pt>
                <c:pt idx="379">
                  <c:v>-27.2641893268064</c:v>
                </c:pt>
                <c:pt idx="380">
                  <c:v>-27.3852093577102</c:v>
                </c:pt>
                <c:pt idx="381">
                  <c:v>-27.5083745104268</c:v>
                </c:pt>
                <c:pt idx="382">
                  <c:v>-27.6336666273872</c:v>
                </c:pt>
                <c:pt idx="383">
                  <c:v>-27.7610654219002</c:v>
                </c:pt>
                <c:pt idx="384">
                  <c:v>-27.8905485828472</c:v>
                </c:pt>
                <c:pt idx="385">
                  <c:v>-28.0220918841632</c:v>
                </c:pt>
                <c:pt idx="386">
                  <c:v>-28.1556692983843</c:v>
                </c:pt>
                <c:pt idx="387">
                  <c:v>-28.2912531135306</c:v>
                </c:pt>
                <c:pt idx="388">
                  <c:v>-28.4288140525808</c:v>
                </c:pt>
                <c:pt idx="389">
                  <c:v>-28.5683213948064</c:v>
                </c:pt>
                <c:pt idx="390">
                  <c:v>-28.7097430982366</c:v>
                </c:pt>
                <c:pt idx="391">
                  <c:v>-28.8530459225508</c:v>
                </c:pt>
                <c:pt idx="392">
                  <c:v>-28.9981955517155</c:v>
                </c:pt>
                <c:pt idx="393">
                  <c:v>-29.1451567157228</c:v>
                </c:pt>
                <c:pt idx="394">
                  <c:v>-29.2938933108174</c:v>
                </c:pt>
                <c:pt idx="395">
                  <c:v>-29.4443685176478</c:v>
                </c:pt>
                <c:pt idx="396">
                  <c:v>-29.5965449168202</c:v>
                </c:pt>
                <c:pt idx="397">
                  <c:v>-29.750384601384</c:v>
                </c:pt>
                <c:pt idx="398">
                  <c:v>-29.9058492858274</c:v>
                </c:pt>
                <c:pt idx="399">
                  <c:v>-30.0629004112141</c:v>
                </c:pt>
                <c:pt idx="400">
                  <c:v>-30.2214992461443</c:v>
                </c:pt>
                <c:pt idx="401">
                  <c:v>-30.3816069832743</c:v>
                </c:pt>
                <c:pt idx="402">
                  <c:v>-30.5431848311779</c:v>
                </c:pt>
                <c:pt idx="403">
                  <c:v>-30.7061941013871</c:v>
                </c:pt>
                <c:pt idx="404">
                  <c:v>-30.8705962904875</c:v>
                </c:pt>
                <c:pt idx="405">
                  <c:v>-31.0363531571975</c:v>
                </c:pt>
                <c:pt idx="406">
                  <c:v>-31.2034267943953</c:v>
                </c:pt>
                <c:pt idx="407">
                  <c:v>-31.3717796960964</c:v>
                </c:pt>
                <c:pt idx="408">
                  <c:v>-31.541374819425</c:v>
                </c:pt>
                <c:pt idx="409">
                  <c:v>-31.7121756416464</c:v>
                </c:pt>
                <c:pt idx="410">
                  <c:v>-31.8841462123628</c:v>
                </c:pt>
                <c:pt idx="411">
                  <c:v>-32.0572512009949</c:v>
                </c:pt>
                <c:pt idx="412">
                  <c:v>-32.2314559396956</c:v>
                </c:pt>
                <c:pt idx="413">
                  <c:v>-32.4067264618631</c:v>
                </c:pt>
                <c:pt idx="414">
                  <c:v>-32.5830295364284</c:v>
                </c:pt>
                <c:pt idx="415">
                  <c:v>-32.7603326981141</c:v>
                </c:pt>
                <c:pt idx="416">
                  <c:v>-32.9386042738636</c:v>
                </c:pt>
                <c:pt idx="417">
                  <c:v>-33.1178134056525</c:v>
                </c:pt>
                <c:pt idx="418">
                  <c:v>-33.2979300698929</c:v>
                </c:pt>
                <c:pt idx="419">
                  <c:v>-33.4789250936505</c:v>
                </c:pt>
                <c:pt idx="420">
                  <c:v>-33.6607701678905</c:v>
                </c:pt>
                <c:pt idx="421">
                  <c:v>-33.8434378579701</c:v>
                </c:pt>
                <c:pt idx="422">
                  <c:v>-34.026901611589</c:v>
                </c:pt>
                <c:pt idx="423">
                  <c:v>-34.2111357644134</c:v>
                </c:pt>
                <c:pt idx="424">
                  <c:v>-34.3961155435731</c:v>
                </c:pt>
                <c:pt idx="425">
                  <c:v>-34.5818170692373</c:v>
                </c:pt>
                <c:pt idx="426">
                  <c:v>-34.7682173544591</c:v>
                </c:pt>
                <c:pt idx="427">
                  <c:v>-34.9552943034754</c:v>
                </c:pt>
                <c:pt idx="428">
                  <c:v>-35.1430267086411</c:v>
                </c:pt>
                <c:pt idx="429">
                  <c:v>-35.3313942461693</c:v>
                </c:pt>
                <c:pt idx="430">
                  <c:v>-35.5203774708377</c:v>
                </c:pt>
                <c:pt idx="431">
                  <c:v>-35.7099578098154</c:v>
                </c:pt>
                <c:pt idx="432">
                  <c:v>-35.9001175557585</c:v>
                </c:pt>
                <c:pt idx="433">
                  <c:v>-36.0908398593067</c:v>
                </c:pt>
                <c:pt idx="434">
                  <c:v>-36.2821087211133</c:v>
                </c:pt>
                <c:pt idx="435">
                  <c:v>-36.4739089835278</c:v>
                </c:pt>
                <c:pt idx="436">
                  <c:v>-36.6662263220419</c:v>
                </c:pt>
                <c:pt idx="437">
                  <c:v>-36.8590472366066</c:v>
                </c:pt>
                <c:pt idx="438">
                  <c:v>-37.052359042915</c:v>
                </c:pt>
                <c:pt idx="439">
                  <c:v>-37.2461498637401</c:v>
                </c:pt>
                <c:pt idx="440">
                  <c:v>-37.4404086204127</c:v>
                </c:pt>
                <c:pt idx="441">
                  <c:v>-37.6351250245121</c:v>
                </c:pt>
                <c:pt idx="442">
                  <c:v>-37.8302895698423</c:v>
                </c:pt>
                <c:pt idx="443">
                  <c:v>-38.0258935247538</c:v>
                </c:pt>
                <c:pt idx="444">
                  <c:v>-38.2219289248707</c:v>
                </c:pt>
                <c:pt idx="445">
                  <c:v>-38.4183885662741</c:v>
                </c:pt>
                <c:pt idx="446">
                  <c:v>-38.6152659991886</c:v>
                </c:pt>
                <c:pt idx="447">
                  <c:v>-38.8125555222123</c:v>
                </c:pt>
                <c:pt idx="448">
                  <c:v>-39.0102521771284</c:v>
                </c:pt>
                <c:pt idx="449">
                  <c:v>-39.2083517443304</c:v>
                </c:pt>
                <c:pt idx="450">
                  <c:v>-39.4068507388858</c:v>
                </c:pt>
                <c:pt idx="451">
                  <c:v>-39.6057464072657</c:v>
                </c:pt>
                <c:pt idx="452">
                  <c:v>-39.8050367247562</c:v>
                </c:pt>
                <c:pt idx="453">
                  <c:v>-40.004720393569</c:v>
                </c:pt>
                <c:pt idx="454">
                  <c:v>-40.2047968416607</c:v>
                </c:pt>
                <c:pt idx="455">
                  <c:v>-40.4052662222707</c:v>
                </c:pt>
                <c:pt idx="456">
                  <c:v>-40.6061294141795</c:v>
                </c:pt>
                <c:pt idx="457">
                  <c:v>-40.8073880226874</c:v>
                </c:pt>
                <c:pt idx="458">
                  <c:v>-41.0090443813136</c:v>
                </c:pt>
                <c:pt idx="459">
                  <c:v>-41.2111015542026</c:v>
                </c:pt>
                <c:pt idx="460">
                  <c:v>-41.4135633392324</c:v>
                </c:pt>
                <c:pt idx="461">
                  <c:v>-41.6164342718052</c:v>
                </c:pt>
                <c:pt idx="462">
                  <c:v>-41.8197196293045</c:v>
                </c:pt>
                <c:pt idx="463">
                  <c:v>-42.0234254361944</c:v>
                </c:pt>
                <c:pt idx="464">
                  <c:v>-42.2275584697326</c:v>
                </c:pt>
                <c:pt idx="465">
                  <c:v>-42.4321262662689</c:v>
                </c:pt>
                <c:pt idx="466">
                  <c:v>-42.6371371280873</c:v>
                </c:pt>
                <c:pt idx="467">
                  <c:v>-42.8426001307568</c:v>
                </c:pt>
                <c:pt idx="468">
                  <c:v>-43.0485251309392</c:v>
                </c:pt>
                <c:pt idx="469">
                  <c:v>-43.2549227746052</c:v>
                </c:pt>
                <c:pt idx="470">
                  <c:v>-43.4618045056019</c:v>
                </c:pt>
                <c:pt idx="471">
                  <c:v>-43.6691825745053</c:v>
                </c:pt>
                <c:pt idx="472">
                  <c:v>-43.8770700476936</c:v>
                </c:pt>
                <c:pt idx="473">
                  <c:v>-44.08548081656</c:v>
                </c:pt>
                <c:pt idx="474">
                  <c:v>-44.294429606789</c:v>
                </c:pt>
                <c:pt idx="475">
                  <c:v>-44.5039319876002</c:v>
                </c:pt>
                <c:pt idx="476">
                  <c:v>-44.7140043808675</c:v>
                </c:pt>
                <c:pt idx="477">
                  <c:v>-44.9246640700087</c:v>
                </c:pt>
                <c:pt idx="478">
                  <c:v>-45.1359292085315</c:v>
                </c:pt>
                <c:pt idx="479">
                  <c:v>-45.3478188281182</c:v>
                </c:pt>
                <c:pt idx="480">
                  <c:v>-45.5603528461208</c:v>
                </c:pt>
                <c:pt idx="481">
                  <c:v>-45.7735520723274</c:v>
                </c:pt>
                <c:pt idx="482">
                  <c:v>-45.98743821486</c:v>
                </c:pt>
                <c:pt idx="483">
                  <c:v>-46.2020338850459</c:v>
                </c:pt>
                <c:pt idx="484">
                  <c:v>-46.4173626011053</c:v>
                </c:pt>
                <c:pt idx="485">
                  <c:v>-46.6334487904823</c:v>
                </c:pt>
                <c:pt idx="486">
                  <c:v>-46.8503177906461</c:v>
                </c:pt>
                <c:pt idx="487">
                  <c:v>-47.0679958481743</c:v>
                </c:pt>
                <c:pt idx="488">
                  <c:v>-47.2865101159296</c:v>
                </c:pt>
                <c:pt idx="489">
                  <c:v>-47.5058886481311</c:v>
                </c:pt>
                <c:pt idx="490">
                  <c:v>-47.7261603931174</c:v>
                </c:pt>
                <c:pt idx="491">
                  <c:v>-47.9473551835954</c:v>
                </c:pt>
                <c:pt idx="492">
                  <c:v>-48.1695037241624</c:v>
                </c:pt>
                <c:pt idx="493">
                  <c:v>-48.3926375758911</c:v>
                </c:pt>
                <c:pt idx="494">
                  <c:v>-48.6167891377629</c:v>
                </c:pt>
                <c:pt idx="495">
                  <c:v>-48.8419916247416</c:v>
                </c:pt>
                <c:pt idx="496">
                  <c:v>-49.0682790422748</c:v>
                </c:pt>
                <c:pt idx="497">
                  <c:v>-49.2956861570262</c:v>
                </c:pt>
                <c:pt idx="498">
                  <c:v>-49.5242484636415</c:v>
                </c:pt>
                <c:pt idx="499">
                  <c:v>-49.7540021473645</c:v>
                </c:pt>
                <c:pt idx="500">
                  <c:v>-49.9849840423368</c:v>
                </c:pt>
                <c:pt idx="501">
                  <c:v>-50.2172315854224</c:v>
                </c:pt>
                <c:pt idx="502">
                  <c:v>-50.4507827654282</c:v>
                </c:pt>
                <c:pt idx="503">
                  <c:v>-50.6856760676068</c:v>
                </c:pt>
                <c:pt idx="504">
                  <c:v>-50.9219504133564</c:v>
                </c:pt>
                <c:pt idx="505">
                  <c:v>-51.1596450950655</c:v>
                </c:pt>
                <c:pt idx="506">
                  <c:v>-51.3987997060761</c:v>
                </c:pt>
                <c:pt idx="507">
                  <c:v>-51.6394540657827</c:v>
                </c:pt>
                <c:pt idx="508">
                  <c:v>-51.8816481399216</c:v>
                </c:pt>
                <c:pt idx="509">
                  <c:v>-52.1254219561443</c:v>
                </c:pt>
                <c:pt idx="510">
                  <c:v>-52.3708155150192</c:v>
                </c:pt>
                <c:pt idx="511">
                  <c:v>-52.6178686966529</c:v>
                </c:pt>
                <c:pt idx="512">
                  <c:v>-52.86662116317</c:v>
                </c:pt>
                <c:pt idx="513">
                  <c:v>-53.1171122573443</c:v>
                </c:pt>
                <c:pt idx="514">
                  <c:v>-53.3693808977281</c:v>
                </c:pt>
                <c:pt idx="515">
                  <c:v>-53.6234654706751</c:v>
                </c:pt>
                <c:pt idx="516">
                  <c:v>-53.8794037197108</c:v>
                </c:pt>
                <c:pt idx="517">
                  <c:v>-54.1372326327528</c:v>
                </c:pt>
                <c:pt idx="518">
                  <c:v>-54.396988327732</c:v>
                </c:pt>
                <c:pt idx="519">
                  <c:v>-54.6587059372158</c:v>
                </c:pt>
                <c:pt idx="520">
                  <c:v>-54.9224194926775</c:v>
                </c:pt>
                <c:pt idx="521">
                  <c:v>-55.1881618090891</c:v>
                </c:pt>
                <c:pt idx="522">
                  <c:v>-55.4559643705551</c:v>
                </c:pt>
                <c:pt idx="523">
                  <c:v>-55.7258572177277</c:v>
                </c:pt>
                <c:pt idx="524">
                  <c:v>-55.9978688377618</c:v>
                </c:pt>
                <c:pt idx="525">
                  <c:v>-56.2720260575847</c:v>
                </c:pt>
                <c:pt idx="526">
                  <c:v>-56.54835394125</c:v>
                </c:pt>
                <c:pt idx="527">
                  <c:v>-56.82687569215</c:v>
                </c:pt>
                <c:pt idx="528">
                  <c:v>-57.1076125608347</c:v>
                </c:pt>
                <c:pt idx="529">
                  <c:v>-57.3905837591684</c:v>
                </c:pt>
                <c:pt idx="530">
                  <c:v>-57.6758063815144</c:v>
                </c:pt>
                <c:pt idx="531">
                  <c:v>-57.9632953335987</c:v>
                </c:pt>
                <c:pt idx="532">
                  <c:v>-58.2530632696486</c:v>
                </c:pt>
                <c:pt idx="533">
                  <c:v>-58.5451205383382</c:v>
                </c:pt>
                <c:pt idx="534">
                  <c:v>-58.8394751380085</c:v>
                </c:pt>
                <c:pt idx="535">
                  <c:v>-59.1361326815482</c:v>
                </c:pt>
                <c:pt idx="536">
                  <c:v>-59.4350963712414</c:v>
                </c:pt>
                <c:pt idx="537">
                  <c:v>-59.7363669838038</c:v>
                </c:pt>
                <c:pt idx="538">
                  <c:v>-60.039942865733</c:v>
                </c:pt>
                <c:pt idx="539">
                  <c:v>-60.3458199390126</c:v>
                </c:pt>
                <c:pt idx="540">
                  <c:v>-60.6539917171123</c:v>
                </c:pt>
                <c:pt idx="541">
                  <c:v>-60.9644493311365</c:v>
                </c:pt>
              </c:numCache>
            </c:numRef>
          </c:yVal>
          <c:smooth val="1"/>
        </c:ser>
        <c:ser>
          <c:idx val="2"/>
          <c:order val="2"/>
          <c:tx>
            <c:strRef>
              <c:f>"f_LP"</c:f>
              <c:strCache>
                <c:ptCount val="1"/>
                <c:pt idx="0">
                  <c:v>f_LP</c:v>
                </c:pt>
              </c:strCache>
            </c:strRef>
          </c:tx>
          <c:spPr>
            <a:ln w="38100" cap="rnd" cmpd="sng" algn="ctr">
              <a:solidFill>
                <a:schemeClr val="accent3">
                  <a:shade val="76667"/>
                  <a:shade val="95000"/>
                  <a:satMod val="105000"/>
                </a:schemeClr>
              </a:solidFill>
              <a:prstDash val="solid"/>
              <a:round/>
            </a:ln>
          </c:spPr>
          <c:marker>
            <c:symbol val="x"/>
            <c:size val="7"/>
            <c:spPr>
              <a:noFill/>
            </c:spPr>
          </c:marker>
          <c:dPt>
            <c:idx val="0"/>
            <c:marker>
              <c:symbol val="x"/>
              <c:size val="7"/>
              <c:spPr>
                <a:noFill/>
                <a:ln w="19050" cap="flat" cmpd="sng" algn="ctr">
                  <a:solidFill>
                    <a:schemeClr val="tx1"/>
                  </a:solidFill>
                  <a:prstDash val="solid"/>
                  <a:round/>
                </a:ln>
              </c:spPr>
            </c:marker>
            <c:bubble3D val="0"/>
          </c:dPt>
          <c:dLbls>
            <c:dLbl>
              <c:idx val="0"/>
              <c:layout/>
              <c:tx>
                <c:rich>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r>
                      <a:rPr lang="en-US" sz="1100" b="1"/>
                      <a:t>f</a:t>
                    </a:r>
                    <a:r>
                      <a:rPr lang="en-US" sz="1100" b="1" baseline="-25000"/>
                      <a:t>LP</a:t>
                    </a:r>
                    <a:endParaRPr lang="en-US" b="1" baseline="-25000"/>
                  </a:p>
                </c:rich>
              </c:tx>
              <c:dLblPos val="b"/>
              <c:showLegendKey val="0"/>
              <c:showVal val="0"/>
              <c:showCatName val="0"/>
              <c:showSerName val="1"/>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Loop_Modeling!$O$11</c:f>
              <c:numCache>
                <c:formatCode>0</c:formatCode>
                <c:ptCount val="1"/>
                <c:pt idx="0">
                  <c:v>26.0521484227805</c:v>
                </c:pt>
              </c:numCache>
            </c:numRef>
          </c:xVal>
          <c:yVal>
            <c:numRef>
              <c:f>Loop_Modeling!$BL$11</c:f>
              <c:numCache>
                <c:formatCode>General</c:formatCode>
                <c:ptCount val="1"/>
                <c:pt idx="0">
                  <c:v>44.0502648755524</c:v>
                </c:pt>
              </c:numCache>
            </c:numRef>
          </c:yVal>
          <c:smooth val="0"/>
        </c:ser>
        <c:ser>
          <c:idx val="3"/>
          <c:order val="3"/>
          <c:tx>
            <c:strRef>
              <c:f>"fz_rhp"</c:f>
              <c:strCache>
                <c:ptCount val="1"/>
                <c:pt idx="0">
                  <c:v>fz_rhp</c:v>
                </c:pt>
              </c:strCache>
            </c:strRef>
          </c:tx>
          <c:spPr>
            <a:ln w="28575" cap="rnd" cmpd="sng" algn="ctr">
              <a:solidFill>
                <a:schemeClr val="tx1"/>
              </a:solidFill>
              <a:prstDash val="solid"/>
              <a:round/>
            </a:ln>
          </c:spPr>
          <c:marker>
            <c:symbol val="circle"/>
            <c:size val="7"/>
            <c:spPr>
              <a:noFill/>
              <a:ln w="19050" cap="flat" cmpd="sng" algn="ctr">
                <a:solidFill>
                  <a:schemeClr val="tx1"/>
                </a:solidFill>
                <a:prstDash val="solid"/>
                <a:round/>
              </a:ln>
            </c:spPr>
          </c:marker>
          <c:dLbls>
            <c:dLbl>
              <c:idx val="0"/>
              <c:layout>
                <c:manualLayout>
                  <c:x val="0.00805012095614235"/>
                  <c:y val="-0.0154936672785042"/>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t"/>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Loop_Modeling!$O$9</c:f>
              <c:numCache>
                <c:formatCode>0</c:formatCode>
                <c:ptCount val="1"/>
                <c:pt idx="0">
                  <c:v>10610.3295394597</c:v>
                </c:pt>
              </c:numCache>
            </c:numRef>
          </c:xVal>
          <c:yVal>
            <c:numRef>
              <c:f>Loop_Modeling!$BL$9</c:f>
              <c:numCache>
                <c:formatCode>General</c:formatCode>
                <c:ptCount val="1"/>
                <c:pt idx="0">
                  <c:v>-22.0477822393242</c:v>
                </c:pt>
              </c:numCache>
            </c:numRef>
          </c:yVal>
          <c:smooth val="1"/>
        </c:ser>
        <c:ser>
          <c:idx val="4"/>
          <c:order val="4"/>
          <c:tx>
            <c:strRef>
              <c:f>"f_esr"</c:f>
              <c:strCache>
                <c:ptCount val="1"/>
                <c:pt idx="0">
                  <c:v>f_esr</c:v>
                </c:pt>
              </c:strCache>
            </c:strRef>
          </c:tx>
          <c:spPr>
            <a:ln w="28575" cap="rnd" cmpd="sng" algn="ctr">
              <a:noFill/>
              <a:prstDash val="solid"/>
              <a:round/>
            </a:ln>
          </c:spPr>
          <c:marker>
            <c:symbol val="circle"/>
            <c:size val="5"/>
            <c:spPr>
              <a:noFill/>
              <a:ln w="19050" cap="flat" cmpd="sng" algn="ctr">
                <a:solidFill>
                  <a:schemeClr val="tx1"/>
                </a:solidFill>
                <a:prstDash val="solid"/>
                <a:round/>
              </a:ln>
            </c:spPr>
          </c:marker>
          <c:dPt>
            <c:idx val="0"/>
            <c:marker>
              <c:symbol val="circle"/>
              <c:size val="7"/>
              <c:spPr>
                <a:noFill/>
                <a:ln w="19050" cap="flat" cmpd="sng" algn="ctr">
                  <a:solidFill>
                    <a:schemeClr val="tx1"/>
                  </a:solidFill>
                  <a:prstDash val="solid"/>
                  <a:round/>
                </a:ln>
              </c:spPr>
            </c:marker>
            <c:bubble3D val="0"/>
          </c:dPt>
          <c:dLbls>
            <c:dLbl>
              <c:idx val="0"/>
              <c:layout>
                <c:manualLayout>
                  <c:x val="-0.0599047448989965"/>
                  <c:y val="-0.0124571934900871"/>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t"/>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Loop_Modeling!$O$10</c:f>
              <c:numCache>
                <c:formatCode>0</c:formatCode>
                <c:ptCount val="1"/>
                <c:pt idx="0">
                  <c:v>10150.1876971872</c:v>
                </c:pt>
              </c:numCache>
            </c:numRef>
          </c:xVal>
          <c:yVal>
            <c:numRef>
              <c:f>Loop_Modeling!$BL$10</c:f>
              <c:numCache>
                <c:formatCode>General</c:formatCode>
                <c:ptCount val="1"/>
                <c:pt idx="0">
                  <c:v>-21.8942481220261</c:v>
                </c:pt>
              </c:numCache>
            </c:numRef>
          </c:yVal>
          <c:smooth val="1"/>
        </c:ser>
        <c:ser>
          <c:idx val="5"/>
          <c:order val="5"/>
          <c:tx>
            <c:strRef>
              <c:f>"fz_ea"</c:f>
              <c:strCache>
                <c:ptCount val="1"/>
                <c:pt idx="0">
                  <c:v>fz_ea</c:v>
                </c:pt>
              </c:strCache>
            </c:strRef>
          </c:tx>
          <c:marker>
            <c:symbol val="circle"/>
            <c:size val="8"/>
            <c:spPr>
              <a:noFill/>
              <a:ln w="25400" cap="flat" cmpd="sng" algn="ctr">
                <a:solidFill>
                  <a:srgbClr val="00B0F0"/>
                </a:solidFill>
                <a:prstDash val="solid"/>
                <a:round/>
              </a:ln>
            </c:spPr>
          </c:marker>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p>
            </c:txPr>
            <c:dLblPos val="r"/>
            <c:showLegendKey val="0"/>
            <c:showVal val="0"/>
            <c:showCatName val="0"/>
            <c:showSerName val="0"/>
            <c:showPercent val="0"/>
            <c:showBubbleSize val="0"/>
            <c:showLeaderLines val="0"/>
            <c:extLst>
              <c:ext xmlns:c15="http://schemas.microsoft.com/office/drawing/2012/chart" uri="{CE6537A1-D6FC-4f65-9D91-7224C49458BB}">
                <c15:layout/>
                <c15:showLeaderLines val="0"/>
                <c15:leaderLines/>
              </c:ext>
            </c:extLst>
          </c:dLbls>
          <c:xVal>
            <c:numRef>
              <c:f>Loop_Modeling!$O$12</c:f>
              <c:numCache>
                <c:formatCode>General</c:formatCode>
                <c:ptCount val="1"/>
                <c:pt idx="0">
                  <c:v>289.372623803446</c:v>
                </c:pt>
              </c:numCache>
            </c:numRef>
          </c:xVal>
          <c:yVal>
            <c:numRef>
              <c:f>Loop_Modeling!$BL$12</c:f>
              <c:numCache>
                <c:formatCode>General</c:formatCode>
                <c:ptCount val="1"/>
                <c:pt idx="0">
                  <c:v>8.18087719932276</c:v>
                </c:pt>
              </c:numCache>
            </c:numRef>
          </c:yVal>
          <c:smooth val="1"/>
        </c:ser>
        <c:ser>
          <c:idx val="6"/>
          <c:order val="6"/>
          <c:tx>
            <c:strRef>
              <c:f>"fp_ea"</c:f>
              <c:strCache>
                <c:ptCount val="1"/>
                <c:pt idx="0">
                  <c:v>fp_ea</c:v>
                </c:pt>
              </c:strCache>
            </c:strRef>
          </c:tx>
          <c:marker>
            <c:symbol val="x"/>
            <c:size val="7"/>
            <c:spPr>
              <a:noFill/>
              <a:ln w="25400" cap="flat" cmpd="sng" algn="ctr">
                <a:solidFill>
                  <a:srgbClr val="00B0F0"/>
                </a:solidFill>
                <a:prstDash val="solid"/>
                <a:round/>
              </a:ln>
            </c:spPr>
          </c:marker>
          <c:dLbls>
            <c:dLbl>
              <c:idx val="0"/>
              <c:layout>
                <c:manualLayout>
                  <c:x val="-0.0539957399119839"/>
                  <c:y val="0.0337125100090066"/>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Loop_Modeling!$O$13</c:f>
              <c:numCache>
                <c:formatCode>General</c:formatCode>
                <c:ptCount val="1"/>
                <c:pt idx="0">
                  <c:v>13834.4741635392</c:v>
                </c:pt>
              </c:numCache>
            </c:numRef>
          </c:xVal>
          <c:yVal>
            <c:numRef>
              <c:f>Loop_Modeling!$BL$13</c:f>
              <c:numCache>
                <c:formatCode>General</c:formatCode>
                <c:ptCount val="1"/>
                <c:pt idx="0">
                  <c:v>-22.8168030145711</c:v>
                </c:pt>
              </c:numCache>
            </c:numRef>
          </c:yVal>
          <c:smooth val="1"/>
        </c:ser>
        <c:dLbls>
          <c:showLegendKey val="0"/>
          <c:showVal val="0"/>
          <c:showCatName val="0"/>
          <c:showSerName val="0"/>
          <c:showPercent val="0"/>
          <c:showBubbleSize val="0"/>
        </c:dLbls>
        <c:axId val="174189952"/>
        <c:axId val="175126016"/>
      </c:scatterChart>
      <c:scatterChart>
        <c:scatterStyle val="smooth"/>
        <c:varyColors val="0"/>
        <c:ser>
          <c:idx val="1"/>
          <c:order val="1"/>
          <c:tx>
            <c:strRef>
              <c:f>"Phase (deg)"</c:f>
              <c:strCache>
                <c:ptCount val="1"/>
                <c:pt idx="0">
                  <c:v>Phase (deg)</c:v>
                </c:pt>
              </c:strCache>
            </c:strRef>
          </c:tx>
          <c:spPr>
            <a:ln w="28575"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Loop_Modeling!$BM$19:$BM$560</c:f>
              <c:numCache>
                <c:formatCode>General</c:formatCode>
                <c:ptCount val="542"/>
                <c:pt idx="0">
                  <c:v>70.529729523912</c:v>
                </c:pt>
                <c:pt idx="1">
                  <c:v>70.1229439689216</c:v>
                </c:pt>
                <c:pt idx="2">
                  <c:v>69.7096385052915</c:v>
                </c:pt>
                <c:pt idx="3">
                  <c:v>69.2898314630216</c:v>
                </c:pt>
                <c:pt idx="4">
                  <c:v>68.8635496634286</c:v>
                </c:pt>
                <c:pt idx="5">
                  <c:v>68.4308288235774</c:v>
                </c:pt>
                <c:pt idx="6">
                  <c:v>67.9917139572582</c:v>
                </c:pt>
                <c:pt idx="7">
                  <c:v>67.5462597702231</c:v>
                </c:pt>
                <c:pt idx="8">
                  <c:v>67.09453104724</c:v>
                </c:pt>
                <c:pt idx="9">
                  <c:v>66.6366030283749</c:v>
                </c:pt>
                <c:pt idx="10">
                  <c:v>66.1725617717623</c:v>
                </c:pt>
                <c:pt idx="11">
                  <c:v>65.702504500003</c:v>
                </c:pt>
                <c:pt idx="12">
                  <c:v>65.2265399272221</c:v>
                </c:pt>
                <c:pt idx="13">
                  <c:v>64.7447885637118</c:v>
                </c:pt>
                <c:pt idx="14">
                  <c:v>64.2573829950422</c:v>
                </c:pt>
                <c:pt idx="15">
                  <c:v>63.7644681324576</c:v>
                </c:pt>
                <c:pt idx="16">
                  <c:v>63.2662014313866</c:v>
                </c:pt>
                <c:pt idx="17">
                  <c:v>62.7627530748997</c:v>
                </c:pt>
                <c:pt idx="18">
                  <c:v>62.2543061190202</c:v>
                </c:pt>
                <c:pt idx="19">
                  <c:v>61.7410565968834</c:v>
                </c:pt>
                <c:pt idx="20">
                  <c:v>61.2232135788819</c:v>
                </c:pt>
                <c:pt idx="21">
                  <c:v>60.7009991861082</c:v>
                </c:pt>
                <c:pt idx="22">
                  <c:v>60.1746485546333</c:v>
                </c:pt>
                <c:pt idx="23">
                  <c:v>59.6444097484289</c:v>
                </c:pt>
                <c:pt idx="24">
                  <c:v>59.110543619042</c:v>
                </c:pt>
                <c:pt idx="25">
                  <c:v>58.5733236104864</c:v>
                </c:pt>
                <c:pt idx="26">
                  <c:v>58.0330355082046</c:v>
                </c:pt>
                <c:pt idx="27">
                  <c:v>57.4899771313815</c:v>
                </c:pt>
                <c:pt idx="28">
                  <c:v>56.9444579683423</c:v>
                </c:pt>
                <c:pt idx="29">
                  <c:v>56.3967987552652</c:v>
                </c:pt>
                <c:pt idx="30">
                  <c:v>55.8473309989336</c:v>
                </c:pt>
                <c:pt idx="31">
                  <c:v>55.2963964447836</c:v>
                </c:pt>
                <c:pt idx="32">
                  <c:v>54.7443464920319</c:v>
                </c:pt>
                <c:pt idx="33">
                  <c:v>54.1915415581922</c:v>
                </c:pt>
                <c:pt idx="34">
                  <c:v>53.6383503958238</c:v>
                </c:pt>
                <c:pt idx="35">
                  <c:v>53.0851493648472</c:v>
                </c:pt>
                <c:pt idx="36">
                  <c:v>52.5323216642562</c:v>
                </c:pt>
                <c:pt idx="37">
                  <c:v>51.9802565274956</c:v>
                </c:pt>
                <c:pt idx="38">
                  <c:v>51.4293483861791</c:v>
                </c:pt>
                <c:pt idx="39">
                  <c:v>50.8799960071918</c:v>
                </c:pt>
                <c:pt idx="40">
                  <c:v>50.3326016085137</c:v>
                </c:pt>
                <c:pt idx="41">
                  <c:v>49.7875699593454</c:v>
                </c:pt>
                <c:pt idx="42">
                  <c:v>49.245307470301</c:v>
                </c:pt>
                <c:pt idx="43">
                  <c:v>48.7062212795364</c:v>
                </c:pt>
                <c:pt idx="44">
                  <c:v>48.1707183407122</c:v>
                </c:pt>
                <c:pt idx="45">
                  <c:v>47.6392045186731</c:v>
                </c:pt>
                <c:pt idx="46">
                  <c:v>47.1120836985979</c:v>
                </c:pt>
                <c:pt idx="47">
                  <c:v>46.589756914218</c:v>
                </c:pt>
                <c:pt idx="48">
                  <c:v>46.0726215004453</c:v>
                </c:pt>
                <c:pt idx="49">
                  <c:v>45.5610702754554</c:v>
                </c:pt>
                <c:pt idx="50">
                  <c:v>45.0554907569116</c:v>
                </c:pt>
                <c:pt idx="51">
                  <c:v>44.5562644166016</c:v>
                </c:pt>
                <c:pt idx="52">
                  <c:v>44.0637659773085</c:v>
                </c:pt>
                <c:pt idx="53">
                  <c:v>43.578362755254</c:v>
                </c:pt>
                <c:pt idx="54">
                  <c:v>43.1004140509336</c:v>
                </c:pt>
                <c:pt idx="55">
                  <c:v>42.6302705906357</c:v>
                </c:pt>
                <c:pt idx="56">
                  <c:v>42.1682740203962</c:v>
                </c:pt>
                <c:pt idx="57">
                  <c:v>41.714756453594</c:v>
                </c:pt>
                <c:pt idx="58">
                  <c:v>41.2700400728636</c:v>
                </c:pt>
                <c:pt idx="59">
                  <c:v>40.8344367864713</c:v>
                </c:pt>
                <c:pt idx="60">
                  <c:v>40.408247938809</c:v>
                </c:pt>
                <c:pt idx="61">
                  <c:v>39.9917640741731</c:v>
                </c:pt>
                <c:pt idx="62">
                  <c:v>39.5852647525637</c:v>
                </c:pt>
                <c:pt idx="63">
                  <c:v>39.1890184158206</c:v>
                </c:pt>
                <c:pt idx="64">
                  <c:v>38.8032823020509</c:v>
                </c:pt>
                <c:pt idx="65">
                  <c:v>38.4283024059661</c:v>
                </c:pt>
                <c:pt idx="66">
                  <c:v>38.0643134824698</c:v>
                </c:pt>
                <c:pt idx="67">
                  <c:v>37.7115390905851</c:v>
                </c:pt>
                <c:pt idx="68">
                  <c:v>37.3701916746194</c:v>
                </c:pt>
                <c:pt idx="69">
                  <c:v>37.0404726792994</c:v>
                </c:pt>
                <c:pt idx="70">
                  <c:v>36.7225726955005</c:v>
                </c:pt>
                <c:pt idx="71">
                  <c:v>36.4166716331129</c:v>
                </c:pt>
                <c:pt idx="72">
                  <c:v>36.1229389175477</c:v>
                </c:pt>
                <c:pt idx="73">
                  <c:v>35.8415337063797</c:v>
                </c:pt>
                <c:pt idx="74">
                  <c:v>35.5726051226529</c:v>
                </c:pt>
                <c:pt idx="75">
                  <c:v>35.3162925014202</c:v>
                </c:pt>
                <c:pt idx="76">
                  <c:v>35.072725646177</c:v>
                </c:pt>
                <c:pt idx="77">
                  <c:v>34.8420250919362</c:v>
                </c:pt>
                <c:pt idx="78">
                  <c:v>34.6243023718267</c:v>
                </c:pt>
                <c:pt idx="79">
                  <c:v>34.4196602842166</c:v>
                </c:pt>
                <c:pt idx="80">
                  <c:v>34.2281931575222</c:v>
                </c:pt>
                <c:pt idx="81">
                  <c:v>34.0499871100166</c:v>
                </c:pt>
                <c:pt idx="82">
                  <c:v>33.8851203021187</c:v>
                </c:pt>
                <c:pt idx="83">
                  <c:v>33.7336631788178</c:v>
                </c:pt>
                <c:pt idx="84">
                  <c:v>33.5956787000627</c:v>
                </c:pt>
                <c:pt idx="85">
                  <c:v>33.4712225571305</c:v>
                </c:pt>
                <c:pt idx="86">
                  <c:v>33.3603433731567</c:v>
                </c:pt>
                <c:pt idx="87">
                  <c:v>33.2630828862085</c:v>
                </c:pt>
                <c:pt idx="88">
                  <c:v>33.1794761134428</c:v>
                </c:pt>
                <c:pt idx="89">
                  <c:v>33.1095514950869</c:v>
                </c:pt>
                <c:pt idx="90">
                  <c:v>33.0533310171424</c:v>
                </c:pt>
                <c:pt idx="91">
                  <c:v>33.0108303119008</c:v>
                </c:pt>
                <c:pt idx="92">
                  <c:v>32.9820587355204</c:v>
                </c:pt>
                <c:pt idx="93">
                  <c:v>32.9670194221008</c:v>
                </c:pt>
                <c:pt idx="94">
                  <c:v>32.9657093138451</c:v>
                </c:pt>
                <c:pt idx="95">
                  <c:v>32.9781191670832</c:v>
                </c:pt>
                <c:pt idx="96">
                  <c:v>33.0042335340925</c:v>
                </c:pt>
                <c:pt idx="97">
                  <c:v>33.04403072082</c:v>
                </c:pt>
                <c:pt idx="98">
                  <c:v>33.0974827207815</c:v>
                </c:pt>
                <c:pt idx="99">
                  <c:v>33.1645551255823</c:v>
                </c:pt>
                <c:pt idx="100">
                  <c:v>33.2452070126734</c:v>
                </c:pt>
                <c:pt idx="101">
                  <c:v>33.3393908111344</c:v>
                </c:pt>
                <c:pt idx="102">
                  <c:v>33.4470521464394</c:v>
                </c:pt>
                <c:pt idx="103">
                  <c:v>33.5681296653466</c:v>
                </c:pt>
                <c:pt idx="104">
                  <c:v>33.7025548422291</c:v>
                </c:pt>
                <c:pt idx="105">
                  <c:v>33.8502517683349</c:v>
                </c:pt>
                <c:pt idx="106">
                  <c:v>34.0111369256548</c:v>
                </c:pt>
                <c:pt idx="107">
                  <c:v>34.1851189472546</c:v>
                </c:pt>
                <c:pt idx="108">
                  <c:v>34.3720983661038</c:v>
                </c:pt>
                <c:pt idx="109">
                  <c:v>34.5719673546147</c:v>
                </c:pt>
                <c:pt idx="110">
                  <c:v>34.7846094572865</c:v>
                </c:pt>
                <c:pt idx="111">
                  <c:v>35.0098993190087</c:v>
                </c:pt>
                <c:pt idx="112">
                  <c:v>35.2477024117557</c:v>
                </c:pt>
                <c:pt idx="113">
                  <c:v>35.4978747625493</c:v>
                </c:pt>
                <c:pt idx="114">
                  <c:v>35.7602626857174</c:v>
                </c:pt>
                <c:pt idx="115">
                  <c:v>36.0347025226052</c:v>
                </c:pt>
                <c:pt idx="116">
                  <c:v>36.3210203920102</c:v>
                </c:pt>
                <c:pt idx="117">
                  <c:v>36.6190319547085</c:v>
                </c:pt>
                <c:pt idx="118">
                  <c:v>36.928542195505</c:v>
                </c:pt>
                <c:pt idx="119">
                  <c:v>37.249345226299</c:v>
                </c:pt>
                <c:pt idx="120">
                  <c:v>37.5812241136575</c:v>
                </c:pt>
                <c:pt idx="121">
                  <c:v>37.9239507343906</c:v>
                </c:pt>
                <c:pt idx="122">
                  <c:v>38.2772856625548</c:v>
                </c:pt>
                <c:pt idx="123">
                  <c:v>38.6409780912441</c:v>
                </c:pt>
                <c:pt idx="124">
                  <c:v>39.0147657923801</c:v>
                </c:pt>
                <c:pt idx="125">
                  <c:v>39.3983751175615</c:v>
                </c:pt>
                <c:pt idx="126">
                  <c:v>39.79152104281</c:v>
                </c:pt>
                <c:pt idx="127">
                  <c:v>40.193907259801</c:v>
                </c:pt>
                <c:pt idx="128">
                  <c:v>40.6052263158734</c:v>
                </c:pt>
                <c:pt idx="129">
                  <c:v>41.0251598047589</c:v>
                </c:pt>
                <c:pt idx="130">
                  <c:v>41.4533786096082</c:v>
                </c:pt>
                <c:pt idx="131">
                  <c:v>41.8895431994584</c:v>
                </c:pt>
                <c:pt idx="132">
                  <c:v>42.3333039798438</c:v>
                </c:pt>
                <c:pt idx="133">
                  <c:v>42.7843016977602</c:v>
                </c:pt>
                <c:pt idx="134">
                  <c:v>43.2421679006908</c:v>
                </c:pt>
                <c:pt idx="135">
                  <c:v>43.7065254488749</c:v>
                </c:pt>
                <c:pt idx="136">
                  <c:v>44.1769890794584</c:v>
                </c:pt>
                <c:pt idx="137">
                  <c:v>44.6531660206287</c:v>
                </c:pt>
                <c:pt idx="138">
                  <c:v>45.1346566532907</c:v>
                </c:pt>
                <c:pt idx="139">
                  <c:v>45.6210552173198</c:v>
                </c:pt>
                <c:pt idx="140">
                  <c:v>46.1119505589178</c:v>
                </c:pt>
                <c:pt idx="141">
                  <c:v>46.6069269151172</c:v>
                </c:pt>
                <c:pt idx="142">
                  <c:v>47.1055647310434</c:v>
                </c:pt>
                <c:pt idx="143">
                  <c:v>47.6074415051426</c:v>
                </c:pt>
                <c:pt idx="144">
                  <c:v>48.1121326572438</c:v>
                </c:pt>
                <c:pt idx="145">
                  <c:v>48.6192124140228</c:v>
                </c:pt>
                <c:pt idx="146">
                  <c:v>49.1282547062307</c:v>
                </c:pt>
                <c:pt idx="147">
                  <c:v>49.6388340718772</c:v>
                </c:pt>
                <c:pt idx="148">
                  <c:v>50.1505265594739</c:v>
                </c:pt>
                <c:pt idx="149">
                  <c:v>50.6629106254385</c:v>
                </c:pt>
                <c:pt idx="150">
                  <c:v>51.1755680197985</c:v>
                </c:pt>
                <c:pt idx="151">
                  <c:v>51.688084654481</c:v>
                </c:pt>
                <c:pt idx="152">
                  <c:v>52.2000514486506</c:v>
                </c:pt>
                <c:pt idx="153">
                  <c:v>52.7110651458331</c:v>
                </c:pt>
                <c:pt idx="154">
                  <c:v>53.2207290978719</c:v>
                </c:pt>
                <c:pt idx="155">
                  <c:v>53.7286540111385</c:v>
                </c:pt>
                <c:pt idx="156">
                  <c:v>54.2344586508397</c:v>
                </c:pt>
                <c:pt idx="157">
                  <c:v>54.7377704997226</c:v>
                </c:pt>
                <c:pt idx="158">
                  <c:v>55.2382263679572</c:v>
                </c:pt>
                <c:pt idx="159">
                  <c:v>55.7354729515049</c:v>
                </c:pt>
                <c:pt idx="160">
                  <c:v>56.22916733679</c:v>
                </c:pt>
                <c:pt idx="161">
                  <c:v>56.7189774500329</c:v>
                </c:pt>
                <c:pt idx="162">
                  <c:v>57.2045824501282</c:v>
                </c:pt>
                <c:pt idx="163">
                  <c:v>57.6856730644711</c:v>
                </c:pt>
                <c:pt idx="164">
                  <c:v>58.1619518676376</c:v>
                </c:pt>
                <c:pt idx="165">
                  <c:v>58.6331335033</c:v>
                </c:pt>
                <c:pt idx="166">
                  <c:v>59.0989448502179</c:v>
                </c:pt>
                <c:pt idx="167">
                  <c:v>59.5591251335491</c:v>
                </c:pt>
                <c:pt idx="168">
                  <c:v>60.0134259831165</c:v>
                </c:pt>
                <c:pt idx="169">
                  <c:v>60.4616114405947</c:v>
                </c:pt>
                <c:pt idx="170">
                  <c:v>60.9034579178938</c:v>
                </c:pt>
                <c:pt idx="171">
                  <c:v>61.3387541092516</c:v>
                </c:pt>
                <c:pt idx="172">
                  <c:v>61.7673008597757</c:v>
                </c:pt>
                <c:pt idx="173">
                  <c:v>62.1889109933359</c:v>
                </c:pt>
                <c:pt idx="174">
                  <c:v>62.6034091028316</c:v>
                </c:pt>
                <c:pt idx="175">
                  <c:v>63.0106313059578</c:v>
                </c:pt>
                <c:pt idx="176">
                  <c:v>63.4104249696228</c:v>
                </c:pt>
                <c:pt idx="177">
                  <c:v>63.8026484062078</c:v>
                </c:pt>
                <c:pt idx="178">
                  <c:v>64.1871705448197</c:v>
                </c:pt>
                <c:pt idx="179">
                  <c:v>64.5638705806524</c:v>
                </c:pt>
                <c:pt idx="180">
                  <c:v>64.9326376054933</c:v>
                </c:pt>
                <c:pt idx="181">
                  <c:v>65.2933702223237</c:v>
                </c:pt>
                <c:pt idx="182">
                  <c:v>65.6459761468319</c:v>
                </c:pt>
                <c:pt idx="183">
                  <c:v>65.9903717985416</c:v>
                </c:pt>
                <c:pt idx="184">
                  <c:v>66.3264818841086</c:v>
                </c:pt>
                <c:pt idx="185">
                  <c:v>66.6542389751787</c:v>
                </c:pt>
                <c:pt idx="186">
                  <c:v>66.9735830830537</c:v>
                </c:pt>
                <c:pt idx="187">
                  <c:v>67.2844612322289</c:v>
                </c:pt>
                <c:pt idx="188">
                  <c:v>67.586827034716</c:v>
                </c:pt>
                <c:pt idx="189">
                  <c:v>67.8806402668834</c:v>
                </c:pt>
                <c:pt idx="190">
                  <c:v>68.1658664503873</c:v>
                </c:pt>
                <c:pt idx="191">
                  <c:v>68.4424764386051</c:v>
                </c:pt>
                <c:pt idx="192">
                  <c:v>68.7104460098219</c:v>
                </c:pt>
                <c:pt idx="193">
                  <c:v>68.9697554682691</c:v>
                </c:pt>
                <c:pt idx="194">
                  <c:v>69.2203892539735</c:v>
                </c:pt>
                <c:pt idx="195">
                  <c:v>69.4623355622312</c:v>
                </c:pt>
                <c:pt idx="196">
                  <c:v>69.6955859733982</c:v>
                </c:pt>
                <c:pt idx="197">
                  <c:v>69.9201350935634</c:v>
                </c:pt>
                <c:pt idx="198">
                  <c:v>70.1359802065571</c:v>
                </c:pt>
                <c:pt idx="199">
                  <c:v>70.343120937655</c:v>
                </c:pt>
                <c:pt idx="200">
                  <c:v>70.5415589292229</c:v>
                </c:pt>
                <c:pt idx="201">
                  <c:v>70.7312975284818</c:v>
                </c:pt>
                <c:pt idx="202">
                  <c:v>70.9123414874854</c:v>
                </c:pt>
                <c:pt idx="203">
                  <c:v>71.0846966753286</c:v>
                </c:pt>
                <c:pt idx="204">
                  <c:v>71.2483698025547</c:v>
                </c:pt>
                <c:pt idx="205">
                  <c:v>71.4033681576659</c:v>
                </c:pt>
                <c:pt idx="206">
                  <c:v>71.5496993555989</c:v>
                </c:pt>
                <c:pt idx="207">
                  <c:v>71.6873710979848</c:v>
                </c:pt>
                <c:pt idx="208">
                  <c:v>71.8163909449817</c:v>
                </c:pt>
                <c:pt idx="209">
                  <c:v>71.9367660984357</c:v>
                </c:pt>
                <c:pt idx="210">
                  <c:v>72.0485031961072</c:v>
                </c:pt>
                <c:pt idx="211">
                  <c:v>72.1516081166814</c:v>
                </c:pt>
                <c:pt idx="212">
                  <c:v>72.2460857952636</c:v>
                </c:pt>
                <c:pt idx="213">
                  <c:v>72.331940049061</c:v>
                </c:pt>
                <c:pt idx="214">
                  <c:v>72.4091734129375</c:v>
                </c:pt>
                <c:pt idx="215">
                  <c:v>72.4777869845333</c:v>
                </c:pt>
                <c:pt idx="216">
                  <c:v>72.5377802786423</c:v>
                </c:pt>
                <c:pt idx="217">
                  <c:v>72.5891510905398</c:v>
                </c:pt>
                <c:pt idx="218">
                  <c:v>72.6318953679686</c:v>
                </c:pt>
                <c:pt idx="219">
                  <c:v>72.666007091496</c:v>
                </c:pt>
                <c:pt idx="220">
                  <c:v>72.691478162964</c:v>
                </c:pt>
                <c:pt idx="221">
                  <c:v>72.708298301778</c:v>
                </c:pt>
                <c:pt idx="222">
                  <c:v>72.7164549487818</c:v>
                </c:pt>
                <c:pt idx="223">
                  <c:v>72.7159331774977</c:v>
                </c:pt>
                <c:pt idx="224">
                  <c:v>72.706715612514</c:v>
                </c:pt>
                <c:pt idx="225">
                  <c:v>72.6887823548367</c:v>
                </c:pt>
                <c:pt idx="226">
                  <c:v>72.662110914031</c:v>
                </c:pt>
                <c:pt idx="227">
                  <c:v>72.6266761470043</c:v>
                </c:pt>
                <c:pt idx="228">
                  <c:v>72.5824502033076</c:v>
                </c:pt>
                <c:pt idx="229">
                  <c:v>72.5294024768495</c:v>
                </c:pt>
                <c:pt idx="230">
                  <c:v>72.4674995639467</c:v>
                </c:pt>
                <c:pt idx="231">
                  <c:v>72.3967052276543</c:v>
                </c:pt>
                <c:pt idx="232">
                  <c:v>72.3169803683475</c:v>
                </c:pt>
                <c:pt idx="233">
                  <c:v>72.2282830005531</c:v>
                </c:pt>
                <c:pt idx="234">
                  <c:v>72.1305682360497</c:v>
                </c:pt>
                <c:pt idx="235">
                  <c:v>72.0237882732893</c:v>
                </c:pt>
                <c:pt idx="236">
                  <c:v>71.9078923932134</c:v>
                </c:pt>
                <c:pt idx="237">
                  <c:v>71.7828269615676</c:v>
                </c:pt>
                <c:pt idx="238">
                  <c:v>71.6485354378432</c:v>
                </c:pt>
                <c:pt idx="239">
                  <c:v>71.504958391008</c:v>
                </c:pt>
                <c:pt idx="240">
                  <c:v>71.3520335222033</c:v>
                </c:pt>
                <c:pt idx="241">
                  <c:v>71.1896956946285</c:v>
                </c:pt>
                <c:pt idx="242">
                  <c:v>71.0178769708447</c:v>
                </c:pt>
                <c:pt idx="243">
                  <c:v>70.8365066577707</c:v>
                </c:pt>
                <c:pt idx="244">
                  <c:v>70.645511359659</c:v>
                </c:pt>
                <c:pt idx="245">
                  <c:v>70.4448150393751</c:v>
                </c:pt>
                <c:pt idx="246">
                  <c:v>70.2343390883211</c:v>
                </c:pt>
                <c:pt idx="247">
                  <c:v>70.0140024053726</c:v>
                </c:pt>
                <c:pt idx="248">
                  <c:v>69.7837214852219</c:v>
                </c:pt>
                <c:pt idx="249">
                  <c:v>69.5434105165344</c:v>
                </c:pt>
                <c:pt idx="250">
                  <c:v>69.2929814903545</c:v>
                </c:pt>
                <c:pt idx="251">
                  <c:v>69.0323443192039</c:v>
                </c:pt>
                <c:pt idx="252">
                  <c:v>68.7614069673391</c:v>
                </c:pt>
                <c:pt idx="253">
                  <c:v>68.4800755926351</c:v>
                </c:pt>
                <c:pt idx="254">
                  <c:v>68.1882547005773</c:v>
                </c:pt>
                <c:pt idx="255">
                  <c:v>67.8858473108457</c:v>
                </c:pt>
                <c:pt idx="256">
                  <c:v>67.5727551369658</c:v>
                </c:pt>
                <c:pt idx="257">
                  <c:v>67.2488787795048</c:v>
                </c:pt>
                <c:pt idx="258">
                  <c:v>66.914117933264</c:v>
                </c:pt>
                <c:pt idx="259">
                  <c:v>66.5683716089101</c:v>
                </c:pt>
                <c:pt idx="260">
                  <c:v>66.21153836945</c:v>
                </c:pt>
                <c:pt idx="261">
                  <c:v>65.8435165819203</c:v>
                </c:pt>
                <c:pt idx="262">
                  <c:v>65.4642046846155</c:v>
                </c:pt>
                <c:pt idx="263">
                  <c:v>65.0735014701238</c:v>
                </c:pt>
                <c:pt idx="264">
                  <c:v>64.6713063843662</c:v>
                </c:pt>
                <c:pt idx="265">
                  <c:v>64.2575198417619</c:v>
                </c:pt>
                <c:pt idx="266">
                  <c:v>63.8320435565499</c:v>
                </c:pt>
                <c:pt idx="267">
                  <c:v>63.3947808901872</c:v>
                </c:pt>
                <c:pt idx="268">
                  <c:v>62.9456372146335</c:v>
                </c:pt>
                <c:pt idx="269">
                  <c:v>62.4845202911966</c:v>
                </c:pt>
                <c:pt idx="270">
                  <c:v>62.0113406644686</c:v>
                </c:pt>
                <c:pt idx="271">
                  <c:v>61.5260120707236</c:v>
                </c:pt>
                <c:pt idx="272">
                  <c:v>61.0284518599738</c:v>
                </c:pt>
                <c:pt idx="273">
                  <c:v>60.5185814306995</c:v>
                </c:pt>
                <c:pt idx="274">
                  <c:v>59.9963266760642</c:v>
                </c:pt>
                <c:pt idx="275">
                  <c:v>59.4616184402194</c:v>
                </c:pt>
                <c:pt idx="276">
                  <c:v>58.9143929830919</c:v>
                </c:pt>
                <c:pt idx="277">
                  <c:v>58.3545924518064</c:v>
                </c:pt>
                <c:pt idx="278">
                  <c:v>57.7821653566769</c:v>
                </c:pt>
                <c:pt idx="279">
                  <c:v>57.1970670494656</c:v>
                </c:pt>
                <c:pt idx="280">
                  <c:v>56.5992602013626</c:v>
                </c:pt>
                <c:pt idx="281">
                  <c:v>55.9887152779313</c:v>
                </c:pt>
                <c:pt idx="282">
                  <c:v>55.3654110080247</c:v>
                </c:pt>
                <c:pt idx="283">
                  <c:v>54.729334843482</c:v>
                </c:pt>
                <c:pt idx="284">
                  <c:v>54.0804834062185</c:v>
                </c:pt>
                <c:pt idx="285">
                  <c:v>53.4188629191565</c:v>
                </c:pt>
                <c:pt idx="286">
                  <c:v>52.7444896173009</c:v>
                </c:pt>
                <c:pt idx="287">
                  <c:v>52.0573901351562</c:v>
                </c:pt>
                <c:pt idx="288">
                  <c:v>51.3576018666075</c:v>
                </c:pt>
                <c:pt idx="289">
                  <c:v>50.6451732933573</c:v>
                </c:pt>
                <c:pt idx="290">
                  <c:v>49.9201642780329</c:v>
                </c:pt>
                <c:pt idx="291">
                  <c:v>49.1826463181337</c:v>
                </c:pt>
                <c:pt idx="292">
                  <c:v>48.4327027571225</c:v>
                </c:pt>
                <c:pt idx="293">
                  <c:v>47.6704289491329</c:v>
                </c:pt>
                <c:pt idx="294">
                  <c:v>46.8959323740044</c:v>
                </c:pt>
                <c:pt idx="295">
                  <c:v>46.1093326996534</c:v>
                </c:pt>
                <c:pt idx="296">
                  <c:v>45.3107617891418</c:v>
                </c:pt>
                <c:pt idx="297">
                  <c:v>44.5003636502189</c:v>
                </c:pt>
                <c:pt idx="298">
                  <c:v>43.6782943255773</c:v>
                </c:pt>
                <c:pt idx="299">
                  <c:v>42.8447217225875</c:v>
                </c:pt>
                <c:pt idx="300">
                  <c:v>41.9998253818322</c:v>
                </c:pt>
                <c:pt idx="301">
                  <c:v>41.1437961843737</c:v>
                </c:pt>
                <c:pt idx="302">
                  <c:v>40.2768359983216</c:v>
                </c:pt>
                <c:pt idx="303">
                  <c:v>39.3991572659154</c:v>
                </c:pt>
                <c:pt idx="304">
                  <c:v>38.5109825330258</c:v>
                </c:pt>
                <c:pt idx="305">
                  <c:v>37.6125439236411</c:v>
                </c:pt>
                <c:pt idx="306">
                  <c:v>36.7040825625746</c:v>
                </c:pt>
                <c:pt idx="307">
                  <c:v>35.785847950276</c:v>
                </c:pt>
                <c:pt idx="308">
                  <c:v>34.8580972942491</c:v>
                </c:pt>
                <c:pt idx="309">
                  <c:v>33.9210948021532</c:v>
                </c:pt>
                <c:pt idx="310">
                  <c:v>32.9751109421855</c:v>
                </c:pt>
                <c:pt idx="311">
                  <c:v>32.0204216768212</c:v>
                </c:pt>
                <c:pt idx="312">
                  <c:v>31.0573076763497</c:v>
                </c:pt>
                <c:pt idx="313">
                  <c:v>30.0860535190051</c:v>
                </c:pt>
                <c:pt idx="314">
                  <c:v>29.1069468846732</c:v>
                </c:pt>
                <c:pt idx="315">
                  <c:v>28.1202777493434</c:v>
                </c:pt>
                <c:pt idx="316">
                  <c:v>27.1263375874921</c:v>
                </c:pt>
                <c:pt idx="317">
                  <c:v>26.1254185895636</c:v>
                </c:pt>
                <c:pt idx="318">
                  <c:v>25.1178129015776</c:v>
                </c:pt>
                <c:pt idx="319">
                  <c:v>24.1038118936588</c:v>
                </c:pt>
                <c:pt idx="320">
                  <c:v>23.0837054639783</c:v>
                </c:pt>
                <c:pt idx="321">
                  <c:v>22.0577813842119</c:v>
                </c:pt>
                <c:pt idx="322">
                  <c:v>21.0263246921349</c:v>
                </c:pt>
                <c:pt idx="323">
                  <c:v>19.9896171364422</c:v>
                </c:pt>
                <c:pt idx="324">
                  <c:v>18.9479366782928</c:v>
                </c:pt>
                <c:pt idx="325">
                  <c:v>17.901557053415</c:v>
                </c:pt>
                <c:pt idx="326">
                  <c:v>16.8507473979361</c:v>
                </c:pt>
                <c:pt idx="327">
                  <c:v>15.7957719403612</c:v>
                </c:pt>
                <c:pt idx="328">
                  <c:v>14.7368897614027</c:v>
                </c:pt>
                <c:pt idx="329">
                  <c:v>13.6743546225998</c:v>
                </c:pt>
                <c:pt idx="330">
                  <c:v>12.6084148639197</c:v>
                </c:pt>
                <c:pt idx="331">
                  <c:v>11.539313369776</c:v>
                </c:pt>
                <c:pt idx="332">
                  <c:v>10.4672876021914</c:v>
                </c:pt>
                <c:pt idx="333">
                  <c:v>9.39256969910059</c:v>
                </c:pt>
                <c:pt idx="334">
                  <c:v>8.31538663514786</c:v>
                </c:pt>
                <c:pt idx="335">
                  <c:v>7.23596044166647</c:v>
                </c:pt>
                <c:pt idx="336">
                  <c:v>6.15450848197145</c:v>
                </c:pt>
                <c:pt idx="337">
                  <c:v>5.07124377751886</c:v>
                </c:pt>
                <c:pt idx="338">
                  <c:v>3.98637538003176</c:v>
                </c:pt>
                <c:pt idx="339">
                  <c:v>2.90010878423484</c:v>
                </c:pt>
                <c:pt idx="340">
                  <c:v>1.81264637547759</c:v>
                </c:pt>
                <c:pt idx="341">
                  <c:v>0.724187906208616</c:v>
                </c:pt>
                <c:pt idx="342">
                  <c:v>-0.365069004979696</c:v>
                </c:pt>
                <c:pt idx="343">
                  <c:v>-1.45492835821309</c:v>
                </c:pt>
                <c:pt idx="344">
                  <c:v>-2.54519524769502</c:v>
                </c:pt>
                <c:pt idx="345">
                  <c:v>-3.63567533422125</c:v>
                </c:pt>
                <c:pt idx="346">
                  <c:v>-4.72617432148816</c:v>
                </c:pt>
                <c:pt idx="347">
                  <c:v>-5.81649744277947</c:v>
                </c:pt>
                <c:pt idx="348">
                  <c:v>-6.90644896446889</c:v>
                </c:pt>
                <c:pt idx="349">
                  <c:v>-7.99583171259152</c:v>
                </c:pt>
                <c:pt idx="350">
                  <c:v>-9.08444662847176</c:v>
                </c:pt>
                <c:pt idx="351">
                  <c:v>-10.172092359093</c:v>
                </c:pt>
                <c:pt idx="352">
                  <c:v>-11.2585648875127</c:v>
                </c:pt>
                <c:pt idx="353">
                  <c:v>-12.3436572082093</c:v>
                </c:pt>
                <c:pt idx="354">
                  <c:v>-13.4271590517745</c:v>
                </c:pt>
                <c:pt idx="355">
                  <c:v>-14.5088566628321</c:v>
                </c:pt>
                <c:pt idx="356">
                  <c:v>-15.5885326345215</c:v>
                </c:pt>
                <c:pt idx="357">
                  <c:v>-16.6659658022598</c:v>
                </c:pt>
                <c:pt idx="358">
                  <c:v>-17.7409311988894</c:v>
                </c:pt>
                <c:pt idx="359">
                  <c:v>-18.8132000726388</c:v>
                </c:pt>
                <c:pt idx="360">
                  <c:v>-19.8825399686669</c:v>
                </c:pt>
                <c:pt idx="361">
                  <c:v>-20.9487148742617</c:v>
                </c:pt>
                <c:pt idx="362">
                  <c:v>-22.011485427092</c:v>
                </c:pt>
                <c:pt idx="363">
                  <c:v>-23.0706091852031</c:v>
                </c:pt>
                <c:pt idx="364">
                  <c:v>-24.1258409568071</c:v>
                </c:pt>
                <c:pt idx="365">
                  <c:v>-25.1769331872459</c:v>
                </c:pt>
                <c:pt idx="366">
                  <c:v>-26.2236363999059</c:v>
                </c:pt>
                <c:pt idx="367">
                  <c:v>-27.2656996872859</c:v>
                </c:pt>
                <c:pt idx="368">
                  <c:v>-28.3028712478796</c:v>
                </c:pt>
                <c:pt idx="369">
                  <c:v>-29.3348989640805</c:v>
                </c:pt>
                <c:pt idx="370">
                  <c:v>-30.3615310158857</c:v>
                </c:pt>
                <c:pt idx="371">
                  <c:v>-31.3825165248532</c:v>
                </c:pt>
                <c:pt idx="372">
                  <c:v>-32.3976062224744</c:v>
                </c:pt>
                <c:pt idx="373">
                  <c:v>-33.4065531369401</c:v>
                </c:pt>
                <c:pt idx="374">
                  <c:v>-34.4091132921656</c:v>
                </c:pt>
                <c:pt idx="375">
                  <c:v>-35.4050464128809</c:v>
                </c:pt>
                <c:pt idx="376">
                  <c:v>-36.3941166296526</c:v>
                </c:pt>
                <c:pt idx="377">
                  <c:v>-37.3760931778065</c:v>
                </c:pt>
                <c:pt idx="378">
                  <c:v>-38.3507510844069</c:v>
                </c:pt>
                <c:pt idx="379">
                  <c:v>-39.3178718377115</c:v>
                </c:pt>
                <c:pt idx="380">
                  <c:v>-40.2772440338269</c:v>
                </c:pt>
                <c:pt idx="381">
                  <c:v>-41.2286639956757</c:v>
                </c:pt>
                <c:pt idx="382">
                  <c:v>-42.171936359801</c:v>
                </c:pt>
                <c:pt idx="383">
                  <c:v>-43.1068746269915</c:v>
                </c:pt>
                <c:pt idx="384">
                  <c:v>-44.0333016732223</c:v>
                </c:pt>
                <c:pt idx="385">
                  <c:v>-44.9510502178987</c:v>
                </c:pt>
                <c:pt idx="386">
                  <c:v>-45.8599632469403</c:v>
                </c:pt>
                <c:pt idx="387">
                  <c:v>-46.7598943887772</c:v>
                </c:pt>
                <c:pt idx="388">
                  <c:v>-47.6507082418528</c:v>
                </c:pt>
                <c:pt idx="389">
                  <c:v>-48.5322806527672</c:v>
                </c:pt>
                <c:pt idx="390">
                  <c:v>-49.40449894469</c:v>
                </c:pt>
                <c:pt idx="391">
                  <c:v>-50.2672620961648</c:v>
                </c:pt>
                <c:pt idx="392">
                  <c:v>-51.1204808708706</c:v>
                </c:pt>
                <c:pt idx="393">
                  <c:v>-51.9640778993348</c:v>
                </c:pt>
                <c:pt idx="394">
                  <c:v>-52.7979877139721</c:v>
                </c:pt>
                <c:pt idx="395">
                  <c:v>-53.6221567391607</c:v>
                </c:pt>
                <c:pt idx="396">
                  <c:v>-54.4365432383802</c:v>
                </c:pt>
                <c:pt idx="397">
                  <c:v>-55.2411172206749</c:v>
                </c:pt>
                <c:pt idx="398">
                  <c:v>-56.0358603089382</c:v>
                </c:pt>
                <c:pt idx="399">
                  <c:v>-56.820765572672</c:v>
                </c:pt>
                <c:pt idx="400">
                  <c:v>-57.5958373280091</c:v>
                </c:pt>
                <c:pt idx="401">
                  <c:v>-58.3610909078788</c:v>
                </c:pt>
                <c:pt idx="402">
                  <c:v>-59.1165524052397</c:v>
                </c:pt>
                <c:pt idx="403">
                  <c:v>-59.8622583923336</c:v>
                </c:pt>
                <c:pt idx="404">
                  <c:v>-60.5982556188896</c:v>
                </c:pt>
                <c:pt idx="405">
                  <c:v>-61.3246006921662</c:v>
                </c:pt>
                <c:pt idx="406">
                  <c:v>-62.0413597416556</c:v>
                </c:pt>
                <c:pt idx="407">
                  <c:v>-62.7486080711744</c:v>
                </c:pt>
                <c:pt idx="408">
                  <c:v>-63.4464298009665</c:v>
                </c:pt>
                <c:pt idx="409">
                  <c:v>-64.1349175023063</c:v>
                </c:pt>
                <c:pt idx="410">
                  <c:v>-64.8141718269617</c:v>
                </c:pt>
                <c:pt idx="411">
                  <c:v>-65.4843011337215</c:v>
                </c:pt>
                <c:pt idx="412">
                  <c:v>-66.1454211140424</c:v>
                </c:pt>
                <c:pt idx="413">
                  <c:v>-66.7976544187083</c:v>
                </c:pt>
                <c:pt idx="414">
                  <c:v>-67.441130287232</c:v>
                </c:pt>
                <c:pt idx="415">
                  <c:v>-68.0759841815737</c:v>
                </c:pt>
                <c:pt idx="416">
                  <c:v>-68.7023574255821</c:v>
                </c:pt>
                <c:pt idx="417">
                  <c:v>-69.3203968514147</c:v>
                </c:pt>
                <c:pt idx="418">
                  <c:v>-69.930254454037</c:v>
                </c:pt>
                <c:pt idx="419">
                  <c:v>-70.5320870547546</c:v>
                </c:pt>
                <c:pt idx="420">
                  <c:v>-71.1260559745938</c:v>
                </c:pt>
                <c:pt idx="421">
                  <c:v>-71.7123267182111</c:v>
                </c:pt>
                <c:pt idx="422">
                  <c:v>-72.2910686688841</c:v>
                </c:pt>
                <c:pt idx="423">
                  <c:v>-72.8624547950251</c:v>
                </c:pt>
                <c:pt idx="424">
                  <c:v>-73.4266613685458</c:v>
                </c:pt>
                <c:pt idx="425">
                  <c:v>-73.9838676952936</c:v>
                </c:pt>
                <c:pt idx="426">
                  <c:v>-74.5342558577026</c:v>
                </c:pt>
                <c:pt idx="427">
                  <c:v>-75.0780104696995</c:v>
                </c:pt>
                <c:pt idx="428">
                  <c:v>-75.6153184438416</c:v>
                </c:pt>
                <c:pt idx="429">
                  <c:v>-76.1463687705852</c:v>
                </c:pt>
                <c:pt idx="430">
                  <c:v>-76.6713523095236</c:v>
                </c:pt>
                <c:pt idx="431">
                  <c:v>-77.1904615923804</c:v>
                </c:pt>
                <c:pt idx="432">
                  <c:v>-77.703890637488</c:v>
                </c:pt>
                <c:pt idx="433">
                  <c:v>-78.2118347754456</c:v>
                </c:pt>
                <c:pt idx="434">
                  <c:v>-78.7144904856059</c:v>
                </c:pt>
                <c:pt idx="435">
                  <c:v>-79.2120552430134</c:v>
                </c:pt>
                <c:pt idx="436">
                  <c:v>-79.7047273753832</c:v>
                </c:pt>
                <c:pt idx="437">
                  <c:v>-80.1927059296907</c:v>
                </c:pt>
                <c:pt idx="438">
                  <c:v>-80.6761905479197</c:v>
                </c:pt>
                <c:pt idx="439">
                  <c:v>-81.1553813514999</c:v>
                </c:pt>
                <c:pt idx="440">
                  <c:v>-81.6304788339515</c:v>
                </c:pt>
                <c:pt idx="441">
                  <c:v>-82.1016837612473</c:v>
                </c:pt>
                <c:pt idx="442">
                  <c:v>-82.5691970793867</c:v>
                </c:pt>
                <c:pt idx="443">
                  <c:v>-83.0332198286796</c:v>
                </c:pt>
                <c:pt idx="444">
                  <c:v>-83.493953064221</c:v>
                </c:pt>
                <c:pt idx="445">
                  <c:v>-83.9515977820497</c:v>
                </c:pt>
                <c:pt idx="446">
                  <c:v>-84.4063548504654</c:v>
                </c:pt>
                <c:pt idx="447">
                  <c:v>-84.8584249459918</c:v>
                </c:pt>
                <c:pt idx="448">
                  <c:v>-85.3080084934624</c:v>
                </c:pt>
                <c:pt idx="449">
                  <c:v>-85.7553056097138</c:v>
                </c:pt>
                <c:pt idx="450">
                  <c:v>-86.2005160503662</c:v>
                </c:pt>
                <c:pt idx="451">
                  <c:v>-86.6438391591747</c:v>
                </c:pt>
                <c:pt idx="452">
                  <c:v>-87.0854738194351</c:v>
                </c:pt>
                <c:pt idx="453">
                  <c:v>-87.5256184069286</c:v>
                </c:pt>
                <c:pt idx="454">
                  <c:v>-87.9644707438926</c:v>
                </c:pt>
                <c:pt idx="455">
                  <c:v>-88.4022280535012</c:v>
                </c:pt>
                <c:pt idx="456">
                  <c:v>-88.8390869143464</c:v>
                </c:pt>
                <c:pt idx="457">
                  <c:v>-89.2752432144051</c:v>
                </c:pt>
                <c:pt idx="458">
                  <c:v>-89.7108921039805</c:v>
                </c:pt>
                <c:pt idx="459">
                  <c:v>-90.1462279471072</c:v>
                </c:pt>
                <c:pt idx="460">
                  <c:v>-90.5814442709073</c:v>
                </c:pt>
                <c:pt idx="461">
                  <c:v>-91.0167337123859</c:v>
                </c:pt>
                <c:pt idx="462">
                  <c:v>-91.4522879621535</c:v>
                </c:pt>
                <c:pt idx="463">
                  <c:v>-91.8882977045656</c:v>
                </c:pt>
                <c:pt idx="464">
                  <c:v>-92.3249525537639</c:v>
                </c:pt>
                <c:pt idx="465">
                  <c:v>-92.7624409851112</c:v>
                </c:pt>
                <c:pt idx="466">
                  <c:v>-93.2009502615085</c:v>
                </c:pt>
                <c:pt idx="467">
                  <c:v>-93.6406663540835</c:v>
                </c:pt>
                <c:pt idx="468">
                  <c:v>-94.0817738567488</c:v>
                </c:pt>
                <c:pt idx="469">
                  <c:v>-94.5244558941202</c:v>
                </c:pt>
                <c:pt idx="470">
                  <c:v>-94.9688940223044</c:v>
                </c:pt>
                <c:pt idx="471">
                  <c:v>-95.4152681220577</c:v>
                </c:pt>
                <c:pt idx="472">
                  <c:v>-95.8637562838363</c:v>
                </c:pt>
                <c:pt idx="473">
                  <c:v>-96.3145346842633</c:v>
                </c:pt>
                <c:pt idx="474">
                  <c:v>-96.7677774535522</c:v>
                </c:pt>
                <c:pt idx="475">
                  <c:v>-97.2236565334421</c:v>
                </c:pt>
                <c:pt idx="476">
                  <c:v>-97.682341525219</c:v>
                </c:pt>
                <c:pt idx="477">
                  <c:v>-98.1439995274203</c:v>
                </c:pt>
                <c:pt idx="478">
                  <c:v>-98.608794962844</c:v>
                </c:pt>
                <c:pt idx="479">
                  <c:v>-99.0768893945208</c:v>
                </c:pt>
                <c:pt idx="480">
                  <c:v>-99.5484413303349</c:v>
                </c:pt>
                <c:pt idx="481">
                  <c:v>-100.023606016029</c:v>
                </c:pt>
                <c:pt idx="482">
                  <c:v>-100.502535216369</c:v>
                </c:pt>
                <c:pt idx="483">
                  <c:v>-100.985376984308</c:v>
                </c:pt>
                <c:pt idx="484">
                  <c:v>-101.472275418026</c:v>
                </c:pt>
                <c:pt idx="485">
                  <c:v>-101.963370405823</c:v>
                </c:pt>
                <c:pt idx="486">
                  <c:v>-102.458797358892</c:v>
                </c:pt>
                <c:pt idx="487">
                  <c:v>-102.958686932081</c:v>
                </c:pt>
                <c:pt idx="488">
                  <c:v>-103.46316473286</c:v>
                </c:pt>
                <c:pt idx="489">
                  <c:v>-103.972351018796</c:v>
                </c:pt>
                <c:pt idx="490">
                  <c:v>-104.486360383946</c:v>
                </c:pt>
                <c:pt idx="491">
                  <c:v>-105.0053014347</c:v>
                </c:pt>
                <c:pt idx="492">
                  <c:v>-105.52927645572</c:v>
                </c:pt>
                <c:pt idx="493">
                  <c:v>-106.058381066764</c:v>
                </c:pt>
                <c:pt idx="494">
                  <c:v>-106.59270387132</c:v>
                </c:pt>
                <c:pt idx="495">
                  <c:v>-107.132326098116</c:v>
                </c:pt>
                <c:pt idx="496">
                  <c:v>-107.677321236736</c:v>
                </c:pt>
                <c:pt idx="497">
                  <c:v>-108.227754668727</c:v>
                </c:pt>
                <c:pt idx="498">
                  <c:v>-108.783683295742</c:v>
                </c:pt>
                <c:pt idx="499">
                  <c:v>-109.345155166441</c:v>
                </c:pt>
                <c:pt idx="500">
                  <c:v>-109.912209104031</c:v>
                </c:pt>
                <c:pt idx="501">
                  <c:v>-110.484874336507</c:v>
                </c:pt>
                <c:pt idx="502">
                  <c:v>-111.063170131804</c:v>
                </c:pt>
                <c:pt idx="503">
                  <c:v>-111.647105440262</c:v>
                </c:pt>
                <c:pt idx="504">
                  <c:v>-112.236678546916</c:v>
                </c:pt>
                <c:pt idx="505">
                  <c:v>-112.831876736336</c:v>
                </c:pt>
                <c:pt idx="506">
                  <c:v>-113.432675972785</c:v>
                </c:pt>
                <c:pt idx="507">
                  <c:v>-114.039040598669</c:v>
                </c:pt>
                <c:pt idx="508">
                  <c:v>-114.650923054297</c:v>
                </c:pt>
                <c:pt idx="509">
                  <c:v>-115.268263622049</c:v>
                </c:pt>
                <c:pt idx="510">
                  <c:v>-115.890990198116</c:v>
                </c:pt>
                <c:pt idx="511">
                  <c:v>-116.519018094988</c:v>
                </c:pt>
                <c:pt idx="512">
                  <c:v>-117.152249877855</c:v>
                </c:pt>
                <c:pt idx="513">
                  <c:v>-117.790575238028</c:v>
                </c:pt>
                <c:pt idx="514">
                  <c:v>-118.433870906419</c:v>
                </c:pt>
                <c:pt idx="515">
                  <c:v>-119.08200060999</c:v>
                </c:pt>
                <c:pt idx="516">
                  <c:v>-119.734815073901</c:v>
                </c:pt>
                <c:pt idx="517">
                  <c:v>-120.392152071893</c:v>
                </c:pt>
                <c:pt idx="518">
                  <c:v>-121.053836527178</c:v>
                </c:pt>
                <c:pt idx="519">
                  <c:v>-121.719680665829</c:v>
                </c:pt>
                <c:pt idx="520">
                  <c:v>-122.389484224289</c:v>
                </c:pt>
                <c:pt idx="521">
                  <c:v>-123.063034712289</c:v>
                </c:pt>
                <c:pt idx="522">
                  <c:v>-123.740107732002</c:v>
                </c:pt>
                <c:pt idx="523">
                  <c:v>-124.420467353833</c:v>
                </c:pt>
                <c:pt idx="524">
                  <c:v>-125.103866548776</c:v>
                </c:pt>
                <c:pt idx="525">
                  <c:v>-125.790047676738</c:v>
                </c:pt>
                <c:pt idx="526">
                  <c:v>-126.478743029725</c:v>
                </c:pt>
                <c:pt idx="527">
                  <c:v>-127.16967542827</c:v>
                </c:pt>
                <c:pt idx="528">
                  <c:v>-127.862558868914</c:v>
                </c:pt>
                <c:pt idx="529">
                  <c:v>-128.557099220055</c:v>
                </c:pt>
                <c:pt idx="530">
                  <c:v>-129.252994962942</c:v>
                </c:pt>
                <c:pt idx="531">
                  <c:v>-129.949937974125</c:v>
                </c:pt>
                <c:pt idx="532">
                  <c:v>-130.647614345173</c:v>
                </c:pt>
                <c:pt idx="533">
                  <c:v>-131.345705235076</c:v>
                </c:pt>
                <c:pt idx="534">
                  <c:v>-132.043887750371</c:v>
                </c:pt>
                <c:pt idx="535">
                  <c:v>-132.741835847676</c:v>
                </c:pt>
                <c:pt idx="536">
                  <c:v>-133.439221253075</c:v>
                </c:pt>
                <c:pt idx="537">
                  <c:v>-134.135714392603</c:v>
                </c:pt>
                <c:pt idx="538">
                  <c:v>-134.830985327908</c:v>
                </c:pt>
                <c:pt idx="539">
                  <c:v>-135.524704691136</c:v>
                </c:pt>
                <c:pt idx="540">
                  <c:v>-136.216544613075</c:v>
                </c:pt>
                <c:pt idx="541">
                  <c:v>-136.906179638684</c:v>
                </c:pt>
              </c:numCache>
            </c:numRef>
          </c:yVal>
          <c:smooth val="1"/>
        </c:ser>
        <c:dLbls>
          <c:showLegendKey val="0"/>
          <c:showVal val="0"/>
          <c:showCatName val="0"/>
          <c:showSerName val="0"/>
          <c:showPercent val="0"/>
          <c:showBubbleSize val="0"/>
        </c:dLbls>
        <c:axId val="175150592"/>
        <c:axId val="175127936"/>
      </c:scatterChart>
      <c:valAx>
        <c:axId val="174189952"/>
        <c:scaling>
          <c:logBase val="10"/>
          <c:orientation val="minMax"/>
          <c:max val="20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p>
        </c:txPr>
        <c:crossAx val="175126016"/>
        <c:crosses val="autoZero"/>
        <c:crossBetween val="midCat"/>
      </c:valAx>
      <c:valAx>
        <c:axId val="17512601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1" i="0" u="none" strike="noStrike" kern="1200" baseline="0">
                <a:solidFill>
                  <a:srgbClr val="FF0000"/>
                </a:solidFill>
                <a:latin typeface="+mn-lt"/>
                <a:ea typeface="+mn-ea"/>
                <a:cs typeface="+mn-cs"/>
              </a:defRPr>
            </a:pPr>
          </a:p>
        </c:txPr>
        <c:crossAx val="174189952"/>
        <c:crosses val="autoZero"/>
        <c:crossBetween val="midCat"/>
        <c:majorUnit val="20"/>
        <c:minorUnit val="10"/>
      </c:valAx>
      <c:valAx>
        <c:axId val="175150592"/>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127936"/>
        <c:crosses val="autoZero"/>
        <c:crossBetween val="midCat"/>
      </c:valAx>
      <c:valAx>
        <c:axId val="175127936"/>
        <c:scaling>
          <c:orientation val="minMax"/>
          <c:max val="180"/>
          <c:min val="-180"/>
        </c:scaling>
        <c:delete val="0"/>
        <c:axPos val="r"/>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Phase (deg)</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1" i="0" u="none" strike="noStrike" kern="1200" baseline="0">
                <a:solidFill>
                  <a:schemeClr val="tx1">
                    <a:lumMod val="95000"/>
                    <a:lumOff val="5000"/>
                  </a:schemeClr>
                </a:solidFill>
                <a:latin typeface="+mn-lt"/>
                <a:ea typeface="+mn-ea"/>
                <a:cs typeface="+mn-cs"/>
              </a:defRPr>
            </a:pPr>
          </a:p>
        </c:txPr>
        <c:crossAx val="175150592"/>
        <c:crosses val="max"/>
        <c:crossBetween val="midCat"/>
        <c:majorUnit val="90"/>
        <c:minorUnit val="45"/>
      </c:valAx>
    </c:plotArea>
    <c:legend>
      <c:legendPos val="r"/>
      <c:legendEntry>
        <c:idx val="1"/>
        <c:delete val="1"/>
      </c:legendEntry>
      <c:legendEntry>
        <c:idx val="2"/>
        <c:delete val="1"/>
      </c:legendEntry>
      <c:legendEntry>
        <c:idx val="3"/>
        <c:delete val="1"/>
      </c:legendEntry>
      <c:legendEntry>
        <c:idx val="4"/>
        <c:delete val="1"/>
      </c:legendEntry>
      <c:legendEntry>
        <c:idx val="5"/>
        <c:delete val="1"/>
      </c:legendEntry>
      <c:layout>
        <c:manualLayout>
          <c:xMode val="edge"/>
          <c:yMode val="edge"/>
          <c:x val="0.613925365103712"/>
          <c:y val="0.00703810127999403"/>
          <c:w val="0.284975005846066"/>
          <c:h val="0.0796438656068465"/>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4a1fb8a-f823-47d5-a6fb-4a0156a917a1}"/>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lgn="l">
              <a:defRPr lang="pl-PL" sz="2400" b="1" i="0" u="none" strike="noStrike" kern="1200" baseline="0">
                <a:solidFill>
                  <a:schemeClr val="tx1"/>
                </a:solidFill>
                <a:latin typeface="+mn-lt"/>
                <a:ea typeface="+mn-ea"/>
                <a:cs typeface="+mn-cs"/>
              </a:defRPr>
            </a:pPr>
            <a:r>
              <a:rPr lang="el-GR" sz="2400"/>
              <a:t>η</a:t>
            </a:r>
            <a:endParaRPr lang="en-US" sz="2400"/>
          </a:p>
        </c:rich>
      </c:tx>
      <c:layout>
        <c:manualLayout>
          <c:xMode val="edge"/>
          <c:yMode val="edge"/>
          <c:x val="0.0923218382951588"/>
          <c:y val="0.00670690811535882"/>
        </c:manualLayout>
      </c:layout>
      <c:overlay val="1"/>
    </c:title>
    <c:autoTitleDeleted val="0"/>
    <c:plotArea>
      <c:layout>
        <c:manualLayout>
          <c:layoutTarget val="inner"/>
          <c:xMode val="edge"/>
          <c:yMode val="edge"/>
          <c:x val="0.0943435758165804"/>
          <c:y val="0.127775049245605"/>
          <c:w val="0.821706919227287"/>
          <c:h val="0.749827708676531"/>
        </c:manualLayout>
      </c:layout>
      <c:scatterChart>
        <c:scatterStyle val="smooth"/>
        <c:varyColors val="0"/>
        <c:ser>
          <c:idx val="0"/>
          <c:order val="0"/>
          <c:tx>
            <c:strRef>
              <c:f>"Eff"</c:f>
              <c:strCache>
                <c:ptCount val="1"/>
                <c:pt idx="0">
                  <c:v>Eff</c:v>
                </c:pt>
              </c:strCache>
            </c:strRef>
          </c:tx>
          <c:spPr>
            <a:ln w="28575" cap="rnd" cmpd="sng" algn="ctr">
              <a:solidFill>
                <a:srgbClr val="FF0000"/>
              </a:solidFill>
              <a:prstDash val="solid"/>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Eff_vs_IOUT!$AT$7:$AT$157</c:f>
              <c:numCache>
                <c:formatCode>General</c:formatCode>
                <c:ptCount val="151"/>
                <c:pt idx="0">
                  <c:v>0</c:v>
                </c:pt>
                <c:pt idx="1">
                  <c:v>44.7233627032887</c:v>
                </c:pt>
                <c:pt idx="2">
                  <c:v>61.7249910870888</c:v>
                </c:pt>
                <c:pt idx="3">
                  <c:v>70.6628846613244</c:v>
                </c:pt>
                <c:pt idx="4">
                  <c:v>76.1622591187837</c:v>
                </c:pt>
                <c:pt idx="5">
                  <c:v>79.8787541642721</c:v>
                </c:pt>
                <c:pt idx="6">
                  <c:v>82.7324560379226</c:v>
                </c:pt>
                <c:pt idx="7">
                  <c:v>84.7859888965024</c:v>
                </c:pt>
                <c:pt idx="8">
                  <c:v>86.391742003971</c:v>
                </c:pt>
                <c:pt idx="9">
                  <c:v>87.6809906393113</c:v>
                </c:pt>
                <c:pt idx="10">
                  <c:v>88.7382641220843</c:v>
                </c:pt>
                <c:pt idx="11">
                  <c:v>89.6204521853824</c:v>
                </c:pt>
                <c:pt idx="12">
                  <c:v>90.3672483441022</c:v>
                </c:pt>
                <c:pt idx="13">
                  <c:v>91.0071908283457</c:v>
                </c:pt>
                <c:pt idx="14">
                  <c:v>91.5613241162418</c:v>
                </c:pt>
                <c:pt idx="15">
                  <c:v>92.0455071070635</c:v>
                </c:pt>
                <c:pt idx="16">
                  <c:v>92.4719176632854</c:v>
                </c:pt>
                <c:pt idx="17">
                  <c:v>92.8500620496666</c:v>
                </c:pt>
                <c:pt idx="18">
                  <c:v>93.1874694651864</c:v>
                </c:pt>
                <c:pt idx="19">
                  <c:v>93.490180615654</c:v>
                </c:pt>
                <c:pt idx="20">
                  <c:v>93.7630982264787</c:v>
                </c:pt>
                <c:pt idx="21">
                  <c:v>94.0102429632131</c:v>
                </c:pt>
                <c:pt idx="22">
                  <c:v>94.2349432599867</c:v>
                </c:pt>
                <c:pt idx="23">
                  <c:v>94.4399781472883</c:v>
                </c:pt>
                <c:pt idx="24">
                  <c:v>94.6276861177148</c:v>
                </c:pt>
                <c:pt idx="25">
                  <c:v>94.8000490920718</c:v>
                </c:pt>
                <c:pt idx="26">
                  <c:v>94.9587578860387</c:v>
                </c:pt>
                <c:pt idx="27">
                  <c:v>95.1052637640768</c:v>
                </c:pt>
                <c:pt idx="28">
                  <c:v>95.2408194120563</c:v>
                </c:pt>
                <c:pt idx="29">
                  <c:v>95.3665117785327</c:v>
                </c:pt>
                <c:pt idx="30">
                  <c:v>95.483288607083</c:v>
                </c:pt>
                <c:pt idx="31">
                  <c:v>95.5919800298014</c:v>
                </c:pt>
                <c:pt idx="32">
                  <c:v>95.693316262241</c:v>
                </c:pt>
                <c:pt idx="33">
                  <c:v>95.7879421969798</c:v>
                </c:pt>
                <c:pt idx="34">
                  <c:v>95.876429511982</c:v>
                </c:pt>
                <c:pt idx="35">
                  <c:v>95.9592867738815</c:v>
                </c:pt>
                <c:pt idx="36">
                  <c:v>96.0369679131508</c:v>
                </c:pt>
                <c:pt idx="37">
                  <c:v>96.1098793692438</c:v>
                </c:pt>
                <c:pt idx="38">
                  <c:v>96.1783861430162</c:v>
                </c:pt>
                <c:pt idx="39">
                  <c:v>96.2428169465421</c:v>
                </c:pt>
                <c:pt idx="40">
                  <c:v>96.3034686035596</c:v>
                </c:pt>
                <c:pt idx="41">
                  <c:v>96.3606098247501</c:v>
                </c:pt>
                <c:pt idx="42">
                  <c:v>96.4144844590747</c:v>
                </c:pt>
                <c:pt idx="43">
                  <c:v>96.4653143040828</c:v>
                </c:pt>
                <c:pt idx="44">
                  <c:v>96.5133015434438</c:v>
                </c:pt>
                <c:pt idx="45">
                  <c:v>96.5586308681424</c:v>
                </c:pt>
                <c:pt idx="46">
                  <c:v>96.6014713282198</c:v>
                </c:pt>
                <c:pt idx="47">
                  <c:v>96.6419779541653</c:v>
                </c:pt>
                <c:pt idx="48">
                  <c:v>96.6802931807105</c:v>
                </c:pt>
                <c:pt idx="49">
                  <c:v>96.7165481005604</c:v>
                </c:pt>
                <c:pt idx="50">
                  <c:v>96.7508635712984</c:v>
                </c:pt>
                <c:pt idx="51">
                  <c:v>96.7833511951411</c:v>
                </c:pt>
                <c:pt idx="52">
                  <c:v>96.8141141882629</c:v>
                </c:pt>
                <c:pt idx="53">
                  <c:v>96.8432481539445</c:v>
                </c:pt>
                <c:pt idx="54">
                  <c:v>96.8708417717337</c:v>
                </c:pt>
                <c:pt idx="55">
                  <c:v>96.8969774130733</c:v>
                </c:pt>
                <c:pt idx="56">
                  <c:v>96.9217316923907</c:v>
                </c:pt>
                <c:pt idx="57">
                  <c:v>96.9451759614055</c:v>
                </c:pt>
                <c:pt idx="58">
                  <c:v>96.9673767533671</c:v>
                </c:pt>
                <c:pt idx="59">
                  <c:v>96.98839618304</c:v>
                </c:pt>
                <c:pt idx="60">
                  <c:v>97.0082923074962</c:v>
                </c:pt>
                <c:pt idx="61">
                  <c:v>97.0271194521231</c:v>
                </c:pt>
                <c:pt idx="62">
                  <c:v>97.0449285056968</c:v>
                </c:pt>
                <c:pt idx="63">
                  <c:v>97.0617671878941</c:v>
                </c:pt>
                <c:pt idx="64">
                  <c:v>97.0776802921974</c:v>
                </c:pt>
                <c:pt idx="65">
                  <c:v>97.0927099067967</c:v>
                </c:pt>
                <c:pt idx="66">
                  <c:v>97.1068956157771</c:v>
                </c:pt>
                <c:pt idx="67">
                  <c:v>97.1202746826152</c:v>
                </c:pt>
                <c:pt idx="68">
                  <c:v>97.1328822177729</c:v>
                </c:pt>
                <c:pt idx="69">
                  <c:v>97.1447513319744</c:v>
                </c:pt>
                <c:pt idx="70">
                  <c:v>97.1559132765715</c:v>
                </c:pt>
                <c:pt idx="71">
                  <c:v>97.1663975722501</c:v>
                </c:pt>
                <c:pt idx="72">
                  <c:v>97.1762321271922</c:v>
                </c:pt>
                <c:pt idx="73">
                  <c:v>97.1854433456865</c:v>
                </c:pt>
                <c:pt idx="74">
                  <c:v>97.1940562280775</c:v>
                </c:pt>
                <c:pt idx="75">
                  <c:v>97.2020944628475</c:v>
                </c:pt>
                <c:pt idx="76">
                  <c:v>97.2095805115462</c:v>
                </c:pt>
                <c:pt idx="77">
                  <c:v>97.2165356872054</c:v>
                </c:pt>
                <c:pt idx="78">
                  <c:v>97.2229802268161</c:v>
                </c:pt>
                <c:pt idx="79">
                  <c:v>97.2289333583863</c:v>
                </c:pt>
                <c:pt idx="80">
                  <c:v>97.2344133630448</c:v>
                </c:pt>
                <c:pt idx="81">
                  <c:v>97.2394376326142</c:v>
                </c:pt>
                <c:pt idx="82">
                  <c:v>97.2440227230337</c:v>
                </c:pt>
                <c:pt idx="83">
                  <c:v>97.2481844039764</c:v>
                </c:pt>
                <c:pt idx="84">
                  <c:v>97.2519377049736</c:v>
                </c:pt>
                <c:pt idx="85">
                  <c:v>97.2552969583306</c:v>
                </c:pt>
                <c:pt idx="86">
                  <c:v>97.2582758390895</c:v>
                </c:pt>
                <c:pt idx="87">
                  <c:v>97.2608874022755</c:v>
                </c:pt>
                <c:pt idx="88">
                  <c:v>97.263144117638</c:v>
                </c:pt>
                <c:pt idx="89">
                  <c:v>97.2650579020825</c:v>
                </c:pt>
                <c:pt idx="90">
                  <c:v>97.2666401499686</c:v>
                </c:pt>
                <c:pt idx="91">
                  <c:v>97.2679017614378</c:v>
                </c:pt>
                <c:pt idx="92">
                  <c:v>97.2688531689179</c:v>
                </c:pt>
                <c:pt idx="93">
                  <c:v>97.2695043619397</c:v>
                </c:pt>
                <c:pt idx="94">
                  <c:v>97.2698649103908</c:v>
                </c:pt>
                <c:pt idx="95">
                  <c:v>97.2699439863186</c:v>
                </c:pt>
                <c:pt idx="96">
                  <c:v>97.2697503843888</c:v>
                </c:pt>
                <c:pt idx="97">
                  <c:v>97.2692925410938</c:v>
                </c:pt>
                <c:pt idx="98">
                  <c:v>97.2685785527997</c:v>
                </c:pt>
                <c:pt idx="99">
                  <c:v>97.2676161927133</c:v>
                </c:pt>
                <c:pt idx="100">
                  <c:v>97.2664129268431</c:v>
                </c:pt>
                <c:pt idx="101">
                  <c:v>97.2649759290239</c:v>
                </c:pt>
                <c:pt idx="102">
                  <c:v>97.263312095068</c:v>
                </c:pt>
                <c:pt idx="103">
                  <c:v>97.2614280561017</c:v>
                </c:pt>
                <c:pt idx="104">
                  <c:v>97.2593301911416</c:v>
                </c:pt>
                <c:pt idx="105">
                  <c:v>97.2570246389604</c:v>
                </c:pt>
                <c:pt idx="106">
                  <c:v>97.2545173092891</c:v>
                </c:pt>
                <c:pt idx="107">
                  <c:v>97.2518138933977</c:v>
                </c:pt>
                <c:pt idx="108">
                  <c:v>97.2489198740953</c:v>
                </c:pt>
                <c:pt idx="109">
                  <c:v>97.2458405351855</c:v>
                </c:pt>
                <c:pt idx="110">
                  <c:v>97.2425809704116</c:v>
                </c:pt>
                <c:pt idx="111">
                  <c:v>97.2391460919242</c:v>
                </c:pt>
                <c:pt idx="112">
                  <c:v>97.2355406382997</c:v>
                </c:pt>
                <c:pt idx="113">
                  <c:v>97.2317691821375</c:v>
                </c:pt>
                <c:pt idx="114">
                  <c:v>97.227836137262</c:v>
                </c:pt>
                <c:pt idx="115">
                  <c:v>97.2237457655527</c:v>
                </c:pt>
                <c:pt idx="116">
                  <c:v>97.2195021834245</c:v>
                </c:pt>
                <c:pt idx="117">
                  <c:v>97.2151093679795</c:v>
                </c:pt>
                <c:pt idx="118">
                  <c:v>97.2105711628492</c:v>
                </c:pt>
                <c:pt idx="119">
                  <c:v>97.2058912837445</c:v>
                </c:pt>
                <c:pt idx="120">
                  <c:v>97.2010733237323</c:v>
                </c:pt>
                <c:pt idx="121">
                  <c:v>97.1961207582516</c:v>
                </c:pt>
                <c:pt idx="122">
                  <c:v>97.1910369498866</c:v>
                </c:pt>
                <c:pt idx="123">
                  <c:v>97.1858251529086</c:v>
                </c:pt>
                <c:pt idx="124">
                  <c:v>97.1804885176006</c:v>
                </c:pt>
                <c:pt idx="125">
                  <c:v>97.175030094376</c:v>
                </c:pt>
                <c:pt idx="126">
                  <c:v>97.1694528377035</c:v>
                </c:pt>
                <c:pt idx="127">
                  <c:v>97.1637596098483</c:v>
                </c:pt>
                <c:pt idx="128">
                  <c:v>97.157953184439</c:v>
                </c:pt>
                <c:pt idx="129">
                  <c:v>97.1520362498711</c:v>
                </c:pt>
                <c:pt idx="130">
                  <c:v>97.146011412554</c:v>
                </c:pt>
                <c:pt idx="131">
                  <c:v>97.1398812000116</c:v>
                </c:pt>
                <c:pt idx="132">
                  <c:v>97.1336480638422</c:v>
                </c:pt>
                <c:pt idx="133">
                  <c:v>97.1273143825471</c:v>
                </c:pt>
                <c:pt idx="134">
                  <c:v>97.120882464233</c:v>
                </c:pt>
                <c:pt idx="135">
                  <c:v>97.1143545491958</c:v>
                </c:pt>
                <c:pt idx="136">
                  <c:v>97.1077328123912</c:v>
                </c:pt>
                <c:pt idx="137">
                  <c:v>97.1010193657981</c:v>
                </c:pt>
                <c:pt idx="138">
                  <c:v>97.09421626068</c:v>
                </c:pt>
                <c:pt idx="139">
                  <c:v>97.0873254897504</c:v>
                </c:pt>
                <c:pt idx="140">
                  <c:v>97.0803489892451</c:v>
                </c:pt>
                <c:pt idx="141">
                  <c:v>97.0732886409078</c:v>
                </c:pt>
                <c:pt idx="142">
                  <c:v>97.0661462738925</c:v>
                </c:pt>
                <c:pt idx="143">
                  <c:v>97.0589236665862</c:v>
                </c:pt>
                <c:pt idx="144">
                  <c:v>97.0516225483571</c:v>
                </c:pt>
                <c:pt idx="145">
                  <c:v>97.0442446012307</c:v>
                </c:pt>
                <c:pt idx="146">
                  <c:v>97.0367914614971</c:v>
                </c:pt>
                <c:pt idx="147">
                  <c:v>97.0292647212542</c:v>
                </c:pt>
                <c:pt idx="148">
                  <c:v>97.0216659298882</c:v>
                </c:pt>
                <c:pt idx="149">
                  <c:v>97.0139965954951</c:v>
                </c:pt>
                <c:pt idx="150">
                  <c:v>97.0062581862458</c:v>
                </c:pt>
              </c:numCache>
            </c:numRef>
          </c:yVal>
          <c:smooth val="0"/>
        </c:ser>
        <c:dLbls>
          <c:showLegendKey val="0"/>
          <c:showVal val="0"/>
          <c:showCatName val="0"/>
          <c:showSerName val="0"/>
          <c:showPercent val="0"/>
          <c:showBubbleSize val="0"/>
        </c:dLbls>
        <c:axId val="174861312"/>
        <c:axId val="174875392"/>
      </c:scatterChart>
      <c:scatterChart>
        <c:scatterStyle val="smooth"/>
        <c:varyColors val="0"/>
        <c:ser>
          <c:idx val="1"/>
          <c:order val="1"/>
          <c:tx>
            <c:strRef>
              <c:f>"MOSFET"</c:f>
              <c:strCache>
                <c:ptCount val="1"/>
                <c:pt idx="0">
                  <c:v>MOSFET</c:v>
                </c:pt>
              </c:strCache>
            </c:strRef>
          </c:tx>
          <c:spPr>
            <a:ln w="28575" cap="rnd" cmpd="sng" algn="ctr">
              <a:solidFill>
                <a:schemeClr val="tx2">
                  <a:lumMod val="75000"/>
                </a:schemeClr>
              </a:solidFill>
              <a:prstDash val="dashDot"/>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Eff_vs_IOUT!$AI$7:$AI$157</c:f>
              <c:numCache>
                <c:formatCode>General</c:formatCode>
                <c:ptCount val="151"/>
                <c:pt idx="0">
                  <c:v>0</c:v>
                </c:pt>
                <c:pt idx="1">
                  <c:v>-0.0018491052270604</c:v>
                </c:pt>
                <c:pt idx="2">
                  <c:v>-0.00363292004034159</c:v>
                </c:pt>
                <c:pt idx="3">
                  <c:v>-0.0053578696421986</c:v>
                </c:pt>
                <c:pt idx="4">
                  <c:v>-0.00702487010589411</c:v>
                </c:pt>
                <c:pt idx="5">
                  <c:v>-0.00863373368107312</c:v>
                </c:pt>
                <c:pt idx="6">
                  <c:v>-0.0110165834863775</c:v>
                </c:pt>
                <c:pt idx="7">
                  <c:v>-0.0128225963299751</c:v>
                </c:pt>
                <c:pt idx="8">
                  <c:v>-0.0146141647291282</c:v>
                </c:pt>
                <c:pt idx="9">
                  <c:v>-0.0163912886838369</c:v>
                </c:pt>
                <c:pt idx="10">
                  <c:v>-0.0181539681941011</c:v>
                </c:pt>
                <c:pt idx="11">
                  <c:v>-0.0199022032599209</c:v>
                </c:pt>
                <c:pt idx="12">
                  <c:v>-0.0216359938812963</c:v>
                </c:pt>
                <c:pt idx="13">
                  <c:v>-0.0233553400582271</c:v>
                </c:pt>
                <c:pt idx="14">
                  <c:v>-0.0250602417907136</c:v>
                </c:pt>
                <c:pt idx="15">
                  <c:v>-0.0267506990787556</c:v>
                </c:pt>
                <c:pt idx="16">
                  <c:v>-0.0284267119223532</c:v>
                </c:pt>
                <c:pt idx="17">
                  <c:v>-0.0300882803215063</c:v>
                </c:pt>
                <c:pt idx="18">
                  <c:v>-0.031735404276215</c:v>
                </c:pt>
                <c:pt idx="19">
                  <c:v>-0.0333680837864792</c:v>
                </c:pt>
                <c:pt idx="20">
                  <c:v>-0.034986318852299</c:v>
                </c:pt>
                <c:pt idx="21">
                  <c:v>-0.0365901094736743</c:v>
                </c:pt>
                <c:pt idx="22">
                  <c:v>-0.0381794556506052</c:v>
                </c:pt>
                <c:pt idx="23">
                  <c:v>-0.0397543573830917</c:v>
                </c:pt>
                <c:pt idx="24">
                  <c:v>-0.0413148146711337</c:v>
                </c:pt>
                <c:pt idx="25">
                  <c:v>-0.0428608275147313</c:v>
                </c:pt>
                <c:pt idx="26">
                  <c:v>-0.0443923959138844</c:v>
                </c:pt>
                <c:pt idx="27">
                  <c:v>-0.0459095198685931</c:v>
                </c:pt>
                <c:pt idx="28">
                  <c:v>-0.0474121993788573</c:v>
                </c:pt>
                <c:pt idx="29">
                  <c:v>-0.0489004344446771</c:v>
                </c:pt>
                <c:pt idx="30">
                  <c:v>-0.0503742250660524</c:v>
                </c:pt>
                <c:pt idx="31">
                  <c:v>-0.0518335712429833</c:v>
                </c:pt>
                <c:pt idx="32">
                  <c:v>-0.0532784729754698</c:v>
                </c:pt>
                <c:pt idx="33">
                  <c:v>-0.0547089302635118</c:v>
                </c:pt>
                <c:pt idx="34">
                  <c:v>-0.0561249431071093</c:v>
                </c:pt>
                <c:pt idx="35">
                  <c:v>-0.0575265115062625</c:v>
                </c:pt>
                <c:pt idx="36">
                  <c:v>-0.0589136354609711</c:v>
                </c:pt>
                <c:pt idx="37">
                  <c:v>-0.0602863149712354</c:v>
                </c:pt>
                <c:pt idx="38">
                  <c:v>-0.0616445500370552</c:v>
                </c:pt>
                <c:pt idx="39">
                  <c:v>-0.0629883406584305</c:v>
                </c:pt>
                <c:pt idx="40">
                  <c:v>-0.0643176868353614</c:v>
                </c:pt>
                <c:pt idx="41">
                  <c:v>-0.0656325885678479</c:v>
                </c:pt>
                <c:pt idx="42">
                  <c:v>-0.0669330458558899</c:v>
                </c:pt>
                <c:pt idx="43">
                  <c:v>-0.0682190586994874</c:v>
                </c:pt>
                <c:pt idx="44">
                  <c:v>-0.0694906270986406</c:v>
                </c:pt>
                <c:pt idx="45">
                  <c:v>-0.0707477510533492</c:v>
                </c:pt>
                <c:pt idx="46">
                  <c:v>-0.0719904305636135</c:v>
                </c:pt>
                <c:pt idx="47">
                  <c:v>-0.0732186656294333</c:v>
                </c:pt>
                <c:pt idx="48">
                  <c:v>-0.0744324562508086</c:v>
                </c:pt>
                <c:pt idx="49">
                  <c:v>-0.0756318024277395</c:v>
                </c:pt>
                <c:pt idx="50">
                  <c:v>-0.076816704160226</c:v>
                </c:pt>
                <c:pt idx="51">
                  <c:v>-0.0779871614482679</c:v>
                </c:pt>
                <c:pt idx="52">
                  <c:v>-0.0791431742918655</c:v>
                </c:pt>
                <c:pt idx="53">
                  <c:v>-0.0802847426910186</c:v>
                </c:pt>
                <c:pt idx="54">
                  <c:v>-0.0814118666457273</c:v>
                </c:pt>
                <c:pt idx="55">
                  <c:v>-0.0825245461559915</c:v>
                </c:pt>
                <c:pt idx="56">
                  <c:v>-0.0836227812218113</c:v>
                </c:pt>
                <c:pt idx="57">
                  <c:v>-0.0847065718431867</c:v>
                </c:pt>
                <c:pt idx="58">
                  <c:v>-0.0857759180201176</c:v>
                </c:pt>
                <c:pt idx="59">
                  <c:v>-0.0868308197526041</c:v>
                </c:pt>
                <c:pt idx="60">
                  <c:v>-0.087871277040646</c:v>
                </c:pt>
                <c:pt idx="61">
                  <c:v>-0.0888972898842436</c:v>
                </c:pt>
                <c:pt idx="62">
                  <c:v>-0.0899088582833967</c:v>
                </c:pt>
                <c:pt idx="63">
                  <c:v>-0.0909059822381054</c:v>
                </c:pt>
                <c:pt idx="64">
                  <c:v>-0.0918886617483696</c:v>
                </c:pt>
                <c:pt idx="65">
                  <c:v>-0.0928568968141894</c:v>
                </c:pt>
                <c:pt idx="66">
                  <c:v>-0.0938106874355648</c:v>
                </c:pt>
                <c:pt idx="67">
                  <c:v>-0.0947500336124957</c:v>
                </c:pt>
                <c:pt idx="68">
                  <c:v>-0.0956749353449821</c:v>
                </c:pt>
                <c:pt idx="69">
                  <c:v>-0.0965853926330241</c:v>
                </c:pt>
                <c:pt idx="70">
                  <c:v>-0.0974814054766217</c:v>
                </c:pt>
                <c:pt idx="71">
                  <c:v>-0.0983629738757748</c:v>
                </c:pt>
                <c:pt idx="72">
                  <c:v>-0.0992300978304835</c:v>
                </c:pt>
                <c:pt idx="73">
                  <c:v>-0.100082777340748</c:v>
                </c:pt>
                <c:pt idx="74">
                  <c:v>-0.100921012406567</c:v>
                </c:pt>
                <c:pt idx="75">
                  <c:v>-0.101744803027943</c:v>
                </c:pt>
                <c:pt idx="76">
                  <c:v>-0.102554149204874</c:v>
                </c:pt>
                <c:pt idx="77">
                  <c:v>-0.10334905093736</c:v>
                </c:pt>
                <c:pt idx="78">
                  <c:v>-0.104129508225402</c:v>
                </c:pt>
                <c:pt idx="79">
                  <c:v>-0.104895521069</c:v>
                </c:pt>
                <c:pt idx="80">
                  <c:v>-0.105647089468153</c:v>
                </c:pt>
                <c:pt idx="81">
                  <c:v>-0.106384213422862</c:v>
                </c:pt>
                <c:pt idx="82">
                  <c:v>-0.107106892933126</c:v>
                </c:pt>
                <c:pt idx="83">
                  <c:v>-0.107815127998946</c:v>
                </c:pt>
                <c:pt idx="84">
                  <c:v>-0.108508918620321</c:v>
                </c:pt>
                <c:pt idx="85">
                  <c:v>-0.109188264797252</c:v>
                </c:pt>
                <c:pt idx="86">
                  <c:v>-0.109853166529738</c:v>
                </c:pt>
                <c:pt idx="87">
                  <c:v>-0.11050362381778</c:v>
                </c:pt>
                <c:pt idx="88">
                  <c:v>-0.111139636661378</c:v>
                </c:pt>
                <c:pt idx="89">
                  <c:v>-0.111761205060531</c:v>
                </c:pt>
                <c:pt idx="90">
                  <c:v>-0.11236832901524</c:v>
                </c:pt>
                <c:pt idx="91">
                  <c:v>-0.112961008525504</c:v>
                </c:pt>
                <c:pt idx="92">
                  <c:v>-0.113539243591324</c:v>
                </c:pt>
                <c:pt idx="93">
                  <c:v>-0.114103034212699</c:v>
                </c:pt>
                <c:pt idx="94">
                  <c:v>-0.11465238038963</c:v>
                </c:pt>
                <c:pt idx="95">
                  <c:v>-0.115187282122116</c:v>
                </c:pt>
                <c:pt idx="96">
                  <c:v>-0.115707739410158</c:v>
                </c:pt>
                <c:pt idx="97">
                  <c:v>-0.116213752253756</c:v>
                </c:pt>
                <c:pt idx="98">
                  <c:v>-0.116705320652909</c:v>
                </c:pt>
                <c:pt idx="99">
                  <c:v>-0.117182444607618</c:v>
                </c:pt>
                <c:pt idx="100">
                  <c:v>-0.117645124117882</c:v>
                </c:pt>
                <c:pt idx="101">
                  <c:v>-0.118093359183702</c:v>
                </c:pt>
                <c:pt idx="102">
                  <c:v>-0.118527149805077</c:v>
                </c:pt>
                <c:pt idx="103">
                  <c:v>-0.118946495982008</c:v>
                </c:pt>
                <c:pt idx="104">
                  <c:v>-0.119351397714494</c:v>
                </c:pt>
                <c:pt idx="105">
                  <c:v>-0.119741855002536</c:v>
                </c:pt>
                <c:pt idx="106">
                  <c:v>-0.120117867846134</c:v>
                </c:pt>
                <c:pt idx="107">
                  <c:v>-0.120479436245287</c:v>
                </c:pt>
                <c:pt idx="108">
                  <c:v>-0.120826560199996</c:v>
                </c:pt>
                <c:pt idx="109">
                  <c:v>-0.12115923971026</c:v>
                </c:pt>
                <c:pt idx="110">
                  <c:v>-0.12147747477608</c:v>
                </c:pt>
                <c:pt idx="111">
                  <c:v>-0.121781265397455</c:v>
                </c:pt>
                <c:pt idx="112">
                  <c:v>-0.122070611574386</c:v>
                </c:pt>
                <c:pt idx="113">
                  <c:v>-0.122345513306873</c:v>
                </c:pt>
                <c:pt idx="114">
                  <c:v>-0.122605970594915</c:v>
                </c:pt>
                <c:pt idx="115">
                  <c:v>-0.122851983438512</c:v>
                </c:pt>
                <c:pt idx="116">
                  <c:v>-0.123083551837665</c:v>
                </c:pt>
                <c:pt idx="117">
                  <c:v>-0.123300675792374</c:v>
                </c:pt>
                <c:pt idx="118">
                  <c:v>-0.123503355302638</c:v>
                </c:pt>
                <c:pt idx="119">
                  <c:v>-0.123691590368458</c:v>
                </c:pt>
                <c:pt idx="120">
                  <c:v>-0.123865380989833</c:v>
                </c:pt>
                <c:pt idx="121">
                  <c:v>-0.124024727166764</c:v>
                </c:pt>
                <c:pt idx="122">
                  <c:v>-0.124169628899251</c:v>
                </c:pt>
                <c:pt idx="123">
                  <c:v>-0.124300086187293</c:v>
                </c:pt>
                <c:pt idx="124">
                  <c:v>-0.12441609903089</c:v>
                </c:pt>
                <c:pt idx="125">
                  <c:v>-0.124517667430043</c:v>
                </c:pt>
                <c:pt idx="126">
                  <c:v>-0.124604791384752</c:v>
                </c:pt>
                <c:pt idx="127">
                  <c:v>-0.124677470895016</c:v>
                </c:pt>
                <c:pt idx="128">
                  <c:v>-0.124735705960836</c:v>
                </c:pt>
                <c:pt idx="129">
                  <c:v>-0.124779496582211</c:v>
                </c:pt>
                <c:pt idx="130">
                  <c:v>-0.124808842759142</c:v>
                </c:pt>
                <c:pt idx="131">
                  <c:v>-0.124823744491629</c:v>
                </c:pt>
                <c:pt idx="132">
                  <c:v>-0.124824201779671</c:v>
                </c:pt>
                <c:pt idx="133">
                  <c:v>-0.124810214623268</c:v>
                </c:pt>
                <c:pt idx="134">
                  <c:v>-0.124781783022421</c:v>
                </c:pt>
                <c:pt idx="135">
                  <c:v>-0.12473890697713</c:v>
                </c:pt>
                <c:pt idx="136">
                  <c:v>-0.124681586487394</c:v>
                </c:pt>
                <c:pt idx="137">
                  <c:v>-0.124609821553214</c:v>
                </c:pt>
                <c:pt idx="138">
                  <c:v>-0.124523612174589</c:v>
                </c:pt>
                <c:pt idx="139">
                  <c:v>-0.12442295835152</c:v>
                </c:pt>
                <c:pt idx="140">
                  <c:v>-0.124307860084007</c:v>
                </c:pt>
                <c:pt idx="141">
                  <c:v>-0.124178317372049</c:v>
                </c:pt>
                <c:pt idx="142">
                  <c:v>-0.124034330215646</c:v>
                </c:pt>
                <c:pt idx="143">
                  <c:v>-0.1238758986148</c:v>
                </c:pt>
                <c:pt idx="144">
                  <c:v>-0.123703022569508</c:v>
                </c:pt>
                <c:pt idx="145">
                  <c:v>-0.123515702079772</c:v>
                </c:pt>
                <c:pt idx="146">
                  <c:v>-0.123313937145592</c:v>
                </c:pt>
                <c:pt idx="147">
                  <c:v>-0.123097727766967</c:v>
                </c:pt>
                <c:pt idx="148">
                  <c:v>-0.122867073943898</c:v>
                </c:pt>
                <c:pt idx="149">
                  <c:v>-0.122621975676385</c:v>
                </c:pt>
                <c:pt idx="150">
                  <c:v>-0.122362432964427</c:v>
                </c:pt>
              </c:numCache>
            </c:numRef>
          </c:yVal>
          <c:smooth val="1"/>
        </c:ser>
        <c:ser>
          <c:idx val="2"/>
          <c:order val="2"/>
          <c:tx>
            <c:strRef>
              <c:f>"Diode"</c:f>
              <c:strCache>
                <c:ptCount val="1"/>
                <c:pt idx="0">
                  <c:v>Diode</c:v>
                </c:pt>
              </c:strCache>
            </c:strRef>
          </c:tx>
          <c:spPr>
            <a:ln w="28575" cap="rnd" cmpd="sng" algn="ctr">
              <a:solidFill>
                <a:schemeClr val="bg2">
                  <a:lumMod val="50000"/>
                </a:schemeClr>
              </a:solidFill>
              <a:prstDash val="sysDash"/>
              <a:round/>
            </a:ln>
          </c:spPr>
          <c:marker>
            <c:symbol val="none"/>
          </c:marker>
          <c:dLbls>
            <c:delete val="1"/>
          </c:dLbls>
          <c:xVal>
            <c:numRef>
              <c:f>Eff_vs_IOUT!$S$8:$S$157</c:f>
              <c:numCache>
                <c:formatCode>General</c:formatCode>
                <c:ptCount val="150"/>
                <c:pt idx="0">
                  <c:v>0.00666666666666667</c:v>
                </c:pt>
                <c:pt idx="1">
                  <c:v>0.0133333333333333</c:v>
                </c:pt>
                <c:pt idx="2">
                  <c:v>0.02</c:v>
                </c:pt>
                <c:pt idx="3">
                  <c:v>0.0266666666666667</c:v>
                </c:pt>
                <c:pt idx="4">
                  <c:v>0.0333333333333333</c:v>
                </c:pt>
                <c:pt idx="5">
                  <c:v>0.04</c:v>
                </c:pt>
                <c:pt idx="6">
                  <c:v>0.0466666666666667</c:v>
                </c:pt>
                <c:pt idx="7">
                  <c:v>0.0533333333333333</c:v>
                </c:pt>
                <c:pt idx="8">
                  <c:v>0.06</c:v>
                </c:pt>
                <c:pt idx="9">
                  <c:v>0.0666666666666667</c:v>
                </c:pt>
                <c:pt idx="10">
                  <c:v>0.0733333333333333</c:v>
                </c:pt>
                <c:pt idx="11">
                  <c:v>0.08</c:v>
                </c:pt>
                <c:pt idx="12">
                  <c:v>0.0866666666666667</c:v>
                </c:pt>
                <c:pt idx="13">
                  <c:v>0.0933333333333333</c:v>
                </c:pt>
                <c:pt idx="14">
                  <c:v>0.1</c:v>
                </c:pt>
                <c:pt idx="15">
                  <c:v>0.106666666666667</c:v>
                </c:pt>
                <c:pt idx="16">
                  <c:v>0.113333333333333</c:v>
                </c:pt>
                <c:pt idx="17">
                  <c:v>0.12</c:v>
                </c:pt>
                <c:pt idx="18">
                  <c:v>0.126666666666667</c:v>
                </c:pt>
                <c:pt idx="19">
                  <c:v>0.133333333333333</c:v>
                </c:pt>
                <c:pt idx="20">
                  <c:v>0.14</c:v>
                </c:pt>
                <c:pt idx="21">
                  <c:v>0.146666666666667</c:v>
                </c:pt>
                <c:pt idx="22">
                  <c:v>0.153333333333333</c:v>
                </c:pt>
                <c:pt idx="23">
                  <c:v>0.16</c:v>
                </c:pt>
                <c:pt idx="24">
                  <c:v>0.166666666666667</c:v>
                </c:pt>
                <c:pt idx="25">
                  <c:v>0.173333333333333</c:v>
                </c:pt>
                <c:pt idx="26">
                  <c:v>0.18</c:v>
                </c:pt>
                <c:pt idx="27">
                  <c:v>0.186666666666667</c:v>
                </c:pt>
                <c:pt idx="28">
                  <c:v>0.193333333333333</c:v>
                </c:pt>
                <c:pt idx="29">
                  <c:v>0.2</c:v>
                </c:pt>
                <c:pt idx="30">
                  <c:v>0.206666666666667</c:v>
                </c:pt>
                <c:pt idx="31">
                  <c:v>0.213333333333333</c:v>
                </c:pt>
                <c:pt idx="32">
                  <c:v>0.22</c:v>
                </c:pt>
                <c:pt idx="33">
                  <c:v>0.226666666666667</c:v>
                </c:pt>
                <c:pt idx="34">
                  <c:v>0.233333333333333</c:v>
                </c:pt>
                <c:pt idx="35">
                  <c:v>0.24</c:v>
                </c:pt>
                <c:pt idx="36">
                  <c:v>0.246666666666667</c:v>
                </c:pt>
                <c:pt idx="37">
                  <c:v>0.253333333333333</c:v>
                </c:pt>
                <c:pt idx="38">
                  <c:v>0.26</c:v>
                </c:pt>
                <c:pt idx="39">
                  <c:v>0.266666666666667</c:v>
                </c:pt>
                <c:pt idx="40">
                  <c:v>0.273333333333333</c:v>
                </c:pt>
                <c:pt idx="41">
                  <c:v>0.28</c:v>
                </c:pt>
                <c:pt idx="42">
                  <c:v>0.286666666666667</c:v>
                </c:pt>
                <c:pt idx="43">
                  <c:v>0.293333333333333</c:v>
                </c:pt>
                <c:pt idx="44">
                  <c:v>0.3</c:v>
                </c:pt>
                <c:pt idx="45">
                  <c:v>0.306666666666667</c:v>
                </c:pt>
                <c:pt idx="46">
                  <c:v>0.313333333333333</c:v>
                </c:pt>
                <c:pt idx="47">
                  <c:v>0.32</c:v>
                </c:pt>
                <c:pt idx="48">
                  <c:v>0.326666666666667</c:v>
                </c:pt>
                <c:pt idx="49">
                  <c:v>0.333333333333333</c:v>
                </c:pt>
                <c:pt idx="50">
                  <c:v>0.34</c:v>
                </c:pt>
                <c:pt idx="51">
                  <c:v>0.346666666666667</c:v>
                </c:pt>
                <c:pt idx="52">
                  <c:v>0.353333333333333</c:v>
                </c:pt>
                <c:pt idx="53">
                  <c:v>0.36</c:v>
                </c:pt>
                <c:pt idx="54">
                  <c:v>0.366666666666667</c:v>
                </c:pt>
                <c:pt idx="55">
                  <c:v>0.373333333333333</c:v>
                </c:pt>
                <c:pt idx="56">
                  <c:v>0.38</c:v>
                </c:pt>
                <c:pt idx="57">
                  <c:v>0.386666666666667</c:v>
                </c:pt>
                <c:pt idx="58">
                  <c:v>0.393333333333333</c:v>
                </c:pt>
                <c:pt idx="59">
                  <c:v>0.4</c:v>
                </c:pt>
                <c:pt idx="60">
                  <c:v>0.406666666666667</c:v>
                </c:pt>
                <c:pt idx="61">
                  <c:v>0.413333333333333</c:v>
                </c:pt>
                <c:pt idx="62">
                  <c:v>0.42</c:v>
                </c:pt>
                <c:pt idx="63">
                  <c:v>0.426666666666667</c:v>
                </c:pt>
                <c:pt idx="64">
                  <c:v>0.433333333333333</c:v>
                </c:pt>
                <c:pt idx="65">
                  <c:v>0.44</c:v>
                </c:pt>
                <c:pt idx="66">
                  <c:v>0.446666666666667</c:v>
                </c:pt>
                <c:pt idx="67">
                  <c:v>0.453333333333333</c:v>
                </c:pt>
                <c:pt idx="68">
                  <c:v>0.46</c:v>
                </c:pt>
                <c:pt idx="69">
                  <c:v>0.466666666666667</c:v>
                </c:pt>
                <c:pt idx="70">
                  <c:v>0.473333333333333</c:v>
                </c:pt>
                <c:pt idx="71">
                  <c:v>0.48</c:v>
                </c:pt>
                <c:pt idx="72">
                  <c:v>0.486666666666667</c:v>
                </c:pt>
                <c:pt idx="73">
                  <c:v>0.493333333333333</c:v>
                </c:pt>
                <c:pt idx="74">
                  <c:v>0.5</c:v>
                </c:pt>
                <c:pt idx="75">
                  <c:v>0.506666666666667</c:v>
                </c:pt>
                <c:pt idx="76">
                  <c:v>0.513333333333333</c:v>
                </c:pt>
                <c:pt idx="77">
                  <c:v>0.52</c:v>
                </c:pt>
                <c:pt idx="78">
                  <c:v>0.526666666666667</c:v>
                </c:pt>
                <c:pt idx="79">
                  <c:v>0.533333333333333</c:v>
                </c:pt>
                <c:pt idx="80">
                  <c:v>0.54</c:v>
                </c:pt>
                <c:pt idx="81">
                  <c:v>0.546666666666667</c:v>
                </c:pt>
                <c:pt idx="82">
                  <c:v>0.553333333333333</c:v>
                </c:pt>
                <c:pt idx="83">
                  <c:v>0.56</c:v>
                </c:pt>
                <c:pt idx="84">
                  <c:v>0.566666666666667</c:v>
                </c:pt>
                <c:pt idx="85">
                  <c:v>0.573333333333333</c:v>
                </c:pt>
                <c:pt idx="86">
                  <c:v>0.58</c:v>
                </c:pt>
                <c:pt idx="87">
                  <c:v>0.586666666666667</c:v>
                </c:pt>
                <c:pt idx="88">
                  <c:v>0.593333333333333</c:v>
                </c:pt>
                <c:pt idx="89">
                  <c:v>0.6</c:v>
                </c:pt>
                <c:pt idx="90">
                  <c:v>0.606666666666667</c:v>
                </c:pt>
                <c:pt idx="91">
                  <c:v>0.613333333333333</c:v>
                </c:pt>
                <c:pt idx="92">
                  <c:v>0.62</c:v>
                </c:pt>
                <c:pt idx="93">
                  <c:v>0.626666666666667</c:v>
                </c:pt>
                <c:pt idx="94">
                  <c:v>0.633333333333333</c:v>
                </c:pt>
                <c:pt idx="95">
                  <c:v>0.64</c:v>
                </c:pt>
                <c:pt idx="96">
                  <c:v>0.646666666666667</c:v>
                </c:pt>
                <c:pt idx="97">
                  <c:v>0.653333333333333</c:v>
                </c:pt>
                <c:pt idx="98">
                  <c:v>0.66</c:v>
                </c:pt>
                <c:pt idx="99">
                  <c:v>0.666666666666667</c:v>
                </c:pt>
                <c:pt idx="100">
                  <c:v>0.673333333333333</c:v>
                </c:pt>
                <c:pt idx="101">
                  <c:v>0.68</c:v>
                </c:pt>
                <c:pt idx="102">
                  <c:v>0.686666666666667</c:v>
                </c:pt>
                <c:pt idx="103">
                  <c:v>0.693333333333333</c:v>
                </c:pt>
                <c:pt idx="104">
                  <c:v>0.7</c:v>
                </c:pt>
                <c:pt idx="105">
                  <c:v>0.706666666666667</c:v>
                </c:pt>
                <c:pt idx="106">
                  <c:v>0.713333333333333</c:v>
                </c:pt>
                <c:pt idx="107">
                  <c:v>0.72</c:v>
                </c:pt>
                <c:pt idx="108">
                  <c:v>0.726666666666667</c:v>
                </c:pt>
                <c:pt idx="109">
                  <c:v>0.733333333333333</c:v>
                </c:pt>
                <c:pt idx="110">
                  <c:v>0.74</c:v>
                </c:pt>
                <c:pt idx="111">
                  <c:v>0.746666666666667</c:v>
                </c:pt>
                <c:pt idx="112">
                  <c:v>0.753333333333333</c:v>
                </c:pt>
                <c:pt idx="113">
                  <c:v>0.76</c:v>
                </c:pt>
                <c:pt idx="114">
                  <c:v>0.766666666666667</c:v>
                </c:pt>
                <c:pt idx="115">
                  <c:v>0.773333333333333</c:v>
                </c:pt>
                <c:pt idx="116">
                  <c:v>0.78</c:v>
                </c:pt>
                <c:pt idx="117">
                  <c:v>0.786666666666667</c:v>
                </c:pt>
                <c:pt idx="118">
                  <c:v>0.793333333333333</c:v>
                </c:pt>
                <c:pt idx="119">
                  <c:v>0.8</c:v>
                </c:pt>
                <c:pt idx="120">
                  <c:v>0.806666666666667</c:v>
                </c:pt>
                <c:pt idx="121">
                  <c:v>0.813333333333333</c:v>
                </c:pt>
                <c:pt idx="122">
                  <c:v>0.82</c:v>
                </c:pt>
                <c:pt idx="123">
                  <c:v>0.826666666666667</c:v>
                </c:pt>
                <c:pt idx="124">
                  <c:v>0.833333333333333</c:v>
                </c:pt>
                <c:pt idx="125">
                  <c:v>0.84</c:v>
                </c:pt>
                <c:pt idx="126">
                  <c:v>0.846666666666667</c:v>
                </c:pt>
                <c:pt idx="127">
                  <c:v>0.853333333333333</c:v>
                </c:pt>
                <c:pt idx="128">
                  <c:v>0.86</c:v>
                </c:pt>
                <c:pt idx="129">
                  <c:v>0.866666666666667</c:v>
                </c:pt>
                <c:pt idx="130">
                  <c:v>0.873333333333333</c:v>
                </c:pt>
                <c:pt idx="131">
                  <c:v>0.88</c:v>
                </c:pt>
                <c:pt idx="132">
                  <c:v>0.886666666666667</c:v>
                </c:pt>
                <c:pt idx="133">
                  <c:v>0.893333333333333</c:v>
                </c:pt>
                <c:pt idx="134">
                  <c:v>0.9</c:v>
                </c:pt>
                <c:pt idx="135">
                  <c:v>0.906666666666667</c:v>
                </c:pt>
                <c:pt idx="136">
                  <c:v>0.913333333333333</c:v>
                </c:pt>
                <c:pt idx="137">
                  <c:v>0.92</c:v>
                </c:pt>
                <c:pt idx="138">
                  <c:v>0.926666666666667</c:v>
                </c:pt>
                <c:pt idx="139">
                  <c:v>0.933333333333333</c:v>
                </c:pt>
                <c:pt idx="140">
                  <c:v>0.94</c:v>
                </c:pt>
                <c:pt idx="141">
                  <c:v>0.946666666666667</c:v>
                </c:pt>
                <c:pt idx="142">
                  <c:v>0.953333333333333</c:v>
                </c:pt>
                <c:pt idx="143">
                  <c:v>0.96</c:v>
                </c:pt>
                <c:pt idx="144">
                  <c:v>0.966666666666667</c:v>
                </c:pt>
                <c:pt idx="145">
                  <c:v>0.973333333333333</c:v>
                </c:pt>
                <c:pt idx="146">
                  <c:v>0.98</c:v>
                </c:pt>
                <c:pt idx="147">
                  <c:v>0.986666666666667</c:v>
                </c:pt>
                <c:pt idx="148">
                  <c:v>0.993333333333333</c:v>
                </c:pt>
                <c:pt idx="149">
                  <c:v>1</c:v>
                </c:pt>
              </c:numCache>
            </c:numRef>
          </c:xVal>
          <c:yVal>
            <c:numRef>
              <c:f>Eff_vs_IOUT!$AN$8:$AN$157</c:f>
              <c:numCache>
                <c:formatCode>General</c:formatCode>
                <c:ptCount val="150"/>
                <c:pt idx="0">
                  <c:v>0.00216666666666667</c:v>
                </c:pt>
                <c:pt idx="1">
                  <c:v>0.00433333333333333</c:v>
                </c:pt>
                <c:pt idx="2">
                  <c:v>0.0065</c:v>
                </c:pt>
                <c:pt idx="3">
                  <c:v>0.00866666666666667</c:v>
                </c:pt>
                <c:pt idx="4">
                  <c:v>0.0108333333333333</c:v>
                </c:pt>
                <c:pt idx="5">
                  <c:v>0.013</c:v>
                </c:pt>
                <c:pt idx="6">
                  <c:v>0.0151666666666667</c:v>
                </c:pt>
                <c:pt idx="7">
                  <c:v>0.0173333333333333</c:v>
                </c:pt>
                <c:pt idx="8">
                  <c:v>0.0195</c:v>
                </c:pt>
                <c:pt idx="9">
                  <c:v>0.0216666666666667</c:v>
                </c:pt>
                <c:pt idx="10">
                  <c:v>0.0238333333333333</c:v>
                </c:pt>
                <c:pt idx="11">
                  <c:v>0.026</c:v>
                </c:pt>
                <c:pt idx="12">
                  <c:v>0.0281666666666667</c:v>
                </c:pt>
                <c:pt idx="13">
                  <c:v>0.0303333333333333</c:v>
                </c:pt>
                <c:pt idx="14">
                  <c:v>0.0325</c:v>
                </c:pt>
                <c:pt idx="15">
                  <c:v>0.0346666666666667</c:v>
                </c:pt>
                <c:pt idx="16">
                  <c:v>0.0368333333333333</c:v>
                </c:pt>
                <c:pt idx="17">
                  <c:v>0.039</c:v>
                </c:pt>
                <c:pt idx="18">
                  <c:v>0.0411666666666667</c:v>
                </c:pt>
                <c:pt idx="19">
                  <c:v>0.0433333333333333</c:v>
                </c:pt>
                <c:pt idx="20">
                  <c:v>0.0455</c:v>
                </c:pt>
                <c:pt idx="21">
                  <c:v>0.0476666666666667</c:v>
                </c:pt>
                <c:pt idx="22">
                  <c:v>0.0498333333333333</c:v>
                </c:pt>
                <c:pt idx="23">
                  <c:v>0.052</c:v>
                </c:pt>
                <c:pt idx="24">
                  <c:v>0.0541666666666667</c:v>
                </c:pt>
                <c:pt idx="25">
                  <c:v>0.0563333333333333</c:v>
                </c:pt>
                <c:pt idx="26">
                  <c:v>0.0585</c:v>
                </c:pt>
                <c:pt idx="27">
                  <c:v>0.0606666666666667</c:v>
                </c:pt>
                <c:pt idx="28">
                  <c:v>0.0628333333333333</c:v>
                </c:pt>
                <c:pt idx="29">
                  <c:v>0.065</c:v>
                </c:pt>
                <c:pt idx="30">
                  <c:v>0.0671666666666667</c:v>
                </c:pt>
                <c:pt idx="31">
                  <c:v>0.0693333333333333</c:v>
                </c:pt>
                <c:pt idx="32">
                  <c:v>0.0715</c:v>
                </c:pt>
                <c:pt idx="33">
                  <c:v>0.0736666666666667</c:v>
                </c:pt>
                <c:pt idx="34">
                  <c:v>0.0758333333333333</c:v>
                </c:pt>
                <c:pt idx="35">
                  <c:v>0.078</c:v>
                </c:pt>
                <c:pt idx="36">
                  <c:v>0.0801666666666667</c:v>
                </c:pt>
                <c:pt idx="37">
                  <c:v>0.0823333333333333</c:v>
                </c:pt>
                <c:pt idx="38">
                  <c:v>0.0845</c:v>
                </c:pt>
                <c:pt idx="39">
                  <c:v>0.0866666666666667</c:v>
                </c:pt>
                <c:pt idx="40">
                  <c:v>0.0888333333333333</c:v>
                </c:pt>
                <c:pt idx="41">
                  <c:v>0.091</c:v>
                </c:pt>
                <c:pt idx="42">
                  <c:v>0.0931666666666667</c:v>
                </c:pt>
                <c:pt idx="43">
                  <c:v>0.0953333333333333</c:v>
                </c:pt>
                <c:pt idx="44">
                  <c:v>0.0975</c:v>
                </c:pt>
                <c:pt idx="45">
                  <c:v>0.0996666666666667</c:v>
                </c:pt>
                <c:pt idx="46">
                  <c:v>0.101833333333333</c:v>
                </c:pt>
                <c:pt idx="47">
                  <c:v>0.104</c:v>
                </c:pt>
                <c:pt idx="48">
                  <c:v>0.106166666666667</c:v>
                </c:pt>
                <c:pt idx="49">
                  <c:v>0.108333333333333</c:v>
                </c:pt>
                <c:pt idx="50">
                  <c:v>0.1105</c:v>
                </c:pt>
                <c:pt idx="51">
                  <c:v>0.112666666666667</c:v>
                </c:pt>
                <c:pt idx="52">
                  <c:v>0.114833333333333</c:v>
                </c:pt>
                <c:pt idx="53">
                  <c:v>0.117</c:v>
                </c:pt>
                <c:pt idx="54">
                  <c:v>0.119166666666667</c:v>
                </c:pt>
                <c:pt idx="55">
                  <c:v>0.121333333333333</c:v>
                </c:pt>
                <c:pt idx="56">
                  <c:v>0.1235</c:v>
                </c:pt>
                <c:pt idx="57">
                  <c:v>0.125666666666667</c:v>
                </c:pt>
                <c:pt idx="58">
                  <c:v>0.127833333333333</c:v>
                </c:pt>
                <c:pt idx="59">
                  <c:v>0.13</c:v>
                </c:pt>
                <c:pt idx="60">
                  <c:v>0.132166666666667</c:v>
                </c:pt>
                <c:pt idx="61">
                  <c:v>0.134333333333333</c:v>
                </c:pt>
                <c:pt idx="62">
                  <c:v>0.1365</c:v>
                </c:pt>
                <c:pt idx="63">
                  <c:v>0.138666666666667</c:v>
                </c:pt>
                <c:pt idx="64">
                  <c:v>0.140833333333333</c:v>
                </c:pt>
                <c:pt idx="65">
                  <c:v>0.143</c:v>
                </c:pt>
                <c:pt idx="66">
                  <c:v>0.145166666666667</c:v>
                </c:pt>
                <c:pt idx="67">
                  <c:v>0.147333333333333</c:v>
                </c:pt>
                <c:pt idx="68">
                  <c:v>0.1495</c:v>
                </c:pt>
                <c:pt idx="69">
                  <c:v>0.151666666666667</c:v>
                </c:pt>
                <c:pt idx="70">
                  <c:v>0.153833333333333</c:v>
                </c:pt>
                <c:pt idx="71">
                  <c:v>0.156</c:v>
                </c:pt>
                <c:pt idx="72">
                  <c:v>0.158166666666667</c:v>
                </c:pt>
                <c:pt idx="73">
                  <c:v>0.160333333333333</c:v>
                </c:pt>
                <c:pt idx="74">
                  <c:v>0.1625</c:v>
                </c:pt>
                <c:pt idx="75">
                  <c:v>0.164666666666667</c:v>
                </c:pt>
                <c:pt idx="76">
                  <c:v>0.166833333333333</c:v>
                </c:pt>
                <c:pt idx="77">
                  <c:v>0.169</c:v>
                </c:pt>
                <c:pt idx="78">
                  <c:v>0.171166666666667</c:v>
                </c:pt>
                <c:pt idx="79">
                  <c:v>0.173333333333333</c:v>
                </c:pt>
                <c:pt idx="80">
                  <c:v>0.1755</c:v>
                </c:pt>
                <c:pt idx="81">
                  <c:v>0.177666666666667</c:v>
                </c:pt>
                <c:pt idx="82">
                  <c:v>0.179833333333333</c:v>
                </c:pt>
                <c:pt idx="83">
                  <c:v>0.182</c:v>
                </c:pt>
                <c:pt idx="84">
                  <c:v>0.184166666666667</c:v>
                </c:pt>
                <c:pt idx="85">
                  <c:v>0.186333333333333</c:v>
                </c:pt>
                <c:pt idx="86">
                  <c:v>0.1885</c:v>
                </c:pt>
                <c:pt idx="87">
                  <c:v>0.190666666666667</c:v>
                </c:pt>
                <c:pt idx="88">
                  <c:v>0.192833333333333</c:v>
                </c:pt>
                <c:pt idx="89">
                  <c:v>0.195</c:v>
                </c:pt>
                <c:pt idx="90">
                  <c:v>0.197166666666667</c:v>
                </c:pt>
                <c:pt idx="91">
                  <c:v>0.199333333333333</c:v>
                </c:pt>
                <c:pt idx="92">
                  <c:v>0.2015</c:v>
                </c:pt>
                <c:pt idx="93">
                  <c:v>0.203666666666667</c:v>
                </c:pt>
                <c:pt idx="94">
                  <c:v>0.205833333333333</c:v>
                </c:pt>
                <c:pt idx="95">
                  <c:v>0.208</c:v>
                </c:pt>
                <c:pt idx="96">
                  <c:v>0.210166666666667</c:v>
                </c:pt>
                <c:pt idx="97">
                  <c:v>0.212333333333333</c:v>
                </c:pt>
                <c:pt idx="98">
                  <c:v>0.2145</c:v>
                </c:pt>
                <c:pt idx="99">
                  <c:v>0.216666666666667</c:v>
                </c:pt>
                <c:pt idx="100">
                  <c:v>0.218833333333333</c:v>
                </c:pt>
                <c:pt idx="101">
                  <c:v>0.221</c:v>
                </c:pt>
                <c:pt idx="102">
                  <c:v>0.223166666666667</c:v>
                </c:pt>
                <c:pt idx="103">
                  <c:v>0.225333333333333</c:v>
                </c:pt>
                <c:pt idx="104">
                  <c:v>0.2275</c:v>
                </c:pt>
                <c:pt idx="105">
                  <c:v>0.229666666666667</c:v>
                </c:pt>
                <c:pt idx="106">
                  <c:v>0.231833333333333</c:v>
                </c:pt>
                <c:pt idx="107">
                  <c:v>0.234</c:v>
                </c:pt>
                <c:pt idx="108">
                  <c:v>0.236166666666667</c:v>
                </c:pt>
                <c:pt idx="109">
                  <c:v>0.238333333333333</c:v>
                </c:pt>
                <c:pt idx="110">
                  <c:v>0.2405</c:v>
                </c:pt>
                <c:pt idx="111">
                  <c:v>0.242666666666667</c:v>
                </c:pt>
                <c:pt idx="112">
                  <c:v>0.244833333333333</c:v>
                </c:pt>
                <c:pt idx="113">
                  <c:v>0.247</c:v>
                </c:pt>
                <c:pt idx="114">
                  <c:v>0.249166666666667</c:v>
                </c:pt>
                <c:pt idx="115">
                  <c:v>0.251333333333333</c:v>
                </c:pt>
                <c:pt idx="116">
                  <c:v>0.2535</c:v>
                </c:pt>
                <c:pt idx="117">
                  <c:v>0.255666666666667</c:v>
                </c:pt>
                <c:pt idx="118">
                  <c:v>0.257833333333333</c:v>
                </c:pt>
                <c:pt idx="119">
                  <c:v>0.26</c:v>
                </c:pt>
                <c:pt idx="120">
                  <c:v>0.262166666666667</c:v>
                </c:pt>
                <c:pt idx="121">
                  <c:v>0.264333333333333</c:v>
                </c:pt>
                <c:pt idx="122">
                  <c:v>0.2665</c:v>
                </c:pt>
                <c:pt idx="123">
                  <c:v>0.268666666666667</c:v>
                </c:pt>
                <c:pt idx="124">
                  <c:v>0.270833333333333</c:v>
                </c:pt>
                <c:pt idx="125">
                  <c:v>0.273</c:v>
                </c:pt>
                <c:pt idx="126">
                  <c:v>0.275166666666667</c:v>
                </c:pt>
                <c:pt idx="127">
                  <c:v>0.277333333333333</c:v>
                </c:pt>
                <c:pt idx="128">
                  <c:v>0.2795</c:v>
                </c:pt>
                <c:pt idx="129">
                  <c:v>0.281666666666667</c:v>
                </c:pt>
                <c:pt idx="130">
                  <c:v>0.283833333333333</c:v>
                </c:pt>
                <c:pt idx="131">
                  <c:v>0.286</c:v>
                </c:pt>
                <c:pt idx="132">
                  <c:v>0.288166666666667</c:v>
                </c:pt>
                <c:pt idx="133">
                  <c:v>0.290333333333333</c:v>
                </c:pt>
                <c:pt idx="134">
                  <c:v>0.2925</c:v>
                </c:pt>
                <c:pt idx="135">
                  <c:v>0.294666666666667</c:v>
                </c:pt>
                <c:pt idx="136">
                  <c:v>0.296833333333333</c:v>
                </c:pt>
                <c:pt idx="137">
                  <c:v>0.299</c:v>
                </c:pt>
                <c:pt idx="138">
                  <c:v>0.301166666666667</c:v>
                </c:pt>
                <c:pt idx="139">
                  <c:v>0.303333333333333</c:v>
                </c:pt>
                <c:pt idx="140">
                  <c:v>0.3055</c:v>
                </c:pt>
                <c:pt idx="141">
                  <c:v>0.307666666666667</c:v>
                </c:pt>
                <c:pt idx="142">
                  <c:v>0.309833333333333</c:v>
                </c:pt>
                <c:pt idx="143">
                  <c:v>0.312</c:v>
                </c:pt>
                <c:pt idx="144">
                  <c:v>0.314166666666667</c:v>
                </c:pt>
                <c:pt idx="145">
                  <c:v>0.316333333333333</c:v>
                </c:pt>
                <c:pt idx="146">
                  <c:v>0.3185</c:v>
                </c:pt>
                <c:pt idx="147">
                  <c:v>0.320666666666667</c:v>
                </c:pt>
                <c:pt idx="148">
                  <c:v>0.322833333333333</c:v>
                </c:pt>
                <c:pt idx="149">
                  <c:v>0.325</c:v>
                </c:pt>
              </c:numCache>
            </c:numRef>
          </c:yVal>
          <c:smooth val="1"/>
        </c:ser>
        <c:ser>
          <c:idx val="3"/>
          <c:order val="3"/>
          <c:tx>
            <c:strRef>
              <c:f>"RCS"</c:f>
              <c:strCache>
                <c:ptCount val="1"/>
                <c:pt idx="0">
                  <c:v>RCS</c:v>
                </c:pt>
              </c:strCache>
            </c:strRef>
          </c:tx>
          <c:spPr>
            <a:ln w="28575" cap="rnd" cmpd="sng" algn="ctr">
              <a:solidFill>
                <a:schemeClr val="accent5">
                  <a:lumMod val="75000"/>
                </a:schemeClr>
              </a:solidFill>
              <a:prstDash val="lgDashDotDot"/>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Eff_vs_IOUT!$AO$7:$AO$157</c:f>
              <c:numCache>
                <c:formatCode>General</c:formatCode>
                <c:ptCount val="151"/>
                <c:pt idx="0">
                  <c:v>0</c:v>
                </c:pt>
                <c:pt idx="1">
                  <c:v>7.81484698862392e-5</c:v>
                </c:pt>
                <c:pt idx="2">
                  <c:v>0.000256743730202033</c:v>
                </c:pt>
                <c:pt idx="3">
                  <c:v>0.00052590085424733</c:v>
                </c:pt>
                <c:pt idx="4">
                  <c:v>0.000884210498541086</c:v>
                </c:pt>
                <c:pt idx="5">
                  <c:v>0.0013319615097833</c:v>
                </c:pt>
                <c:pt idx="6">
                  <c:v>0.00058896447467876</c:v>
                </c:pt>
                <c:pt idx="7">
                  <c:v>0.000733408919123205</c:v>
                </c:pt>
                <c:pt idx="8">
                  <c:v>0.000900075585789871</c:v>
                </c:pt>
                <c:pt idx="9">
                  <c:v>0.00108896447467876</c:v>
                </c:pt>
                <c:pt idx="10">
                  <c:v>0.00130007558578987</c:v>
                </c:pt>
                <c:pt idx="11">
                  <c:v>0.00153340891912321</c:v>
                </c:pt>
                <c:pt idx="12">
                  <c:v>0.00178896447467876</c:v>
                </c:pt>
                <c:pt idx="13">
                  <c:v>0.00206674225245654</c:v>
                </c:pt>
                <c:pt idx="14">
                  <c:v>0.00236674225245654</c:v>
                </c:pt>
                <c:pt idx="15">
                  <c:v>0.00268896447467876</c:v>
                </c:pt>
                <c:pt idx="16">
                  <c:v>0.00303340891912321</c:v>
                </c:pt>
                <c:pt idx="17">
                  <c:v>0.00340007558578987</c:v>
                </c:pt>
                <c:pt idx="18">
                  <c:v>0.00378896447467876</c:v>
                </c:pt>
                <c:pt idx="19">
                  <c:v>0.00420007558578987</c:v>
                </c:pt>
                <c:pt idx="20">
                  <c:v>0.0046334089191232</c:v>
                </c:pt>
                <c:pt idx="21">
                  <c:v>0.00508896447467876</c:v>
                </c:pt>
                <c:pt idx="22">
                  <c:v>0.00556674225245654</c:v>
                </c:pt>
                <c:pt idx="23">
                  <c:v>0.00606674225245654</c:v>
                </c:pt>
                <c:pt idx="24">
                  <c:v>0.00658896447467876</c:v>
                </c:pt>
                <c:pt idx="25">
                  <c:v>0.00713340891912321</c:v>
                </c:pt>
                <c:pt idx="26">
                  <c:v>0.00770007558578987</c:v>
                </c:pt>
                <c:pt idx="27">
                  <c:v>0.00828896447467876</c:v>
                </c:pt>
                <c:pt idx="28">
                  <c:v>0.00890007558578987</c:v>
                </c:pt>
                <c:pt idx="29">
                  <c:v>0.00953340891912321</c:v>
                </c:pt>
                <c:pt idx="30">
                  <c:v>0.0101889644746788</c:v>
                </c:pt>
                <c:pt idx="31">
                  <c:v>0.0108667422524565</c:v>
                </c:pt>
                <c:pt idx="32">
                  <c:v>0.0115667422524565</c:v>
                </c:pt>
                <c:pt idx="33">
                  <c:v>0.0122889644746788</c:v>
                </c:pt>
                <c:pt idx="34">
                  <c:v>0.0130334089191232</c:v>
                </c:pt>
                <c:pt idx="35">
                  <c:v>0.0138000755857899</c:v>
                </c:pt>
                <c:pt idx="36">
                  <c:v>0.0145889644746788</c:v>
                </c:pt>
                <c:pt idx="37">
                  <c:v>0.0154000755857899</c:v>
                </c:pt>
                <c:pt idx="38">
                  <c:v>0.0162334089191232</c:v>
                </c:pt>
                <c:pt idx="39">
                  <c:v>0.0170889644746788</c:v>
                </c:pt>
                <c:pt idx="40">
                  <c:v>0.0179667422524565</c:v>
                </c:pt>
                <c:pt idx="41">
                  <c:v>0.0188667422524565</c:v>
                </c:pt>
                <c:pt idx="42">
                  <c:v>0.0197889644746788</c:v>
                </c:pt>
                <c:pt idx="43">
                  <c:v>0.0207334089191232</c:v>
                </c:pt>
                <c:pt idx="44">
                  <c:v>0.0217000755857899</c:v>
                </c:pt>
                <c:pt idx="45">
                  <c:v>0.0226889644746788</c:v>
                </c:pt>
                <c:pt idx="46">
                  <c:v>0.0237000755857899</c:v>
                </c:pt>
                <c:pt idx="47">
                  <c:v>0.0247334089191232</c:v>
                </c:pt>
                <c:pt idx="48">
                  <c:v>0.0257889644746788</c:v>
                </c:pt>
                <c:pt idx="49">
                  <c:v>0.0268667422524565</c:v>
                </c:pt>
                <c:pt idx="50">
                  <c:v>0.0279667422524565</c:v>
                </c:pt>
                <c:pt idx="51">
                  <c:v>0.0290889644746788</c:v>
                </c:pt>
                <c:pt idx="52">
                  <c:v>0.0302334089191232</c:v>
                </c:pt>
                <c:pt idx="53">
                  <c:v>0.0314000755857899</c:v>
                </c:pt>
                <c:pt idx="54">
                  <c:v>0.0325889644746788</c:v>
                </c:pt>
                <c:pt idx="55">
                  <c:v>0.0338000755857899</c:v>
                </c:pt>
                <c:pt idx="56">
                  <c:v>0.0350334089191232</c:v>
                </c:pt>
                <c:pt idx="57">
                  <c:v>0.0362889644746788</c:v>
                </c:pt>
                <c:pt idx="58">
                  <c:v>0.0375667422524565</c:v>
                </c:pt>
                <c:pt idx="59">
                  <c:v>0.0388667422524565</c:v>
                </c:pt>
                <c:pt idx="60">
                  <c:v>0.0401889644746788</c:v>
                </c:pt>
                <c:pt idx="61">
                  <c:v>0.0415334089191232</c:v>
                </c:pt>
                <c:pt idx="62">
                  <c:v>0.0429000755857899</c:v>
                </c:pt>
                <c:pt idx="63">
                  <c:v>0.0442889644746788</c:v>
                </c:pt>
                <c:pt idx="64">
                  <c:v>0.0457000755857899</c:v>
                </c:pt>
                <c:pt idx="65">
                  <c:v>0.0471334089191232</c:v>
                </c:pt>
                <c:pt idx="66">
                  <c:v>0.0485889644746788</c:v>
                </c:pt>
                <c:pt idx="67">
                  <c:v>0.0500667422524565</c:v>
                </c:pt>
                <c:pt idx="68">
                  <c:v>0.0515667422524565</c:v>
                </c:pt>
                <c:pt idx="69">
                  <c:v>0.0530889644746788</c:v>
                </c:pt>
                <c:pt idx="70">
                  <c:v>0.0546334089191232</c:v>
                </c:pt>
                <c:pt idx="71">
                  <c:v>0.0562000755857899</c:v>
                </c:pt>
                <c:pt idx="72">
                  <c:v>0.0577889644746788</c:v>
                </c:pt>
                <c:pt idx="73">
                  <c:v>0.0594000755857899</c:v>
                </c:pt>
                <c:pt idx="74">
                  <c:v>0.0610334089191232</c:v>
                </c:pt>
                <c:pt idx="75">
                  <c:v>0.0626889644746788</c:v>
                </c:pt>
                <c:pt idx="76">
                  <c:v>0.0643667422524565</c:v>
                </c:pt>
                <c:pt idx="77">
                  <c:v>0.0660667422524566</c:v>
                </c:pt>
                <c:pt idx="78">
                  <c:v>0.0677889644746788</c:v>
                </c:pt>
                <c:pt idx="79">
                  <c:v>0.0695334089191232</c:v>
                </c:pt>
                <c:pt idx="80">
                  <c:v>0.0713000755857899</c:v>
                </c:pt>
                <c:pt idx="81">
                  <c:v>0.0730889644746788</c:v>
                </c:pt>
                <c:pt idx="82">
                  <c:v>0.0749000755857899</c:v>
                </c:pt>
                <c:pt idx="83">
                  <c:v>0.0767334089191232</c:v>
                </c:pt>
                <c:pt idx="84">
                  <c:v>0.0785889644746788</c:v>
                </c:pt>
                <c:pt idx="85">
                  <c:v>0.0804667422524565</c:v>
                </c:pt>
                <c:pt idx="86">
                  <c:v>0.0823667422524565</c:v>
                </c:pt>
                <c:pt idx="87">
                  <c:v>0.0842889644746788</c:v>
                </c:pt>
                <c:pt idx="88">
                  <c:v>0.0862334089191232</c:v>
                </c:pt>
                <c:pt idx="89">
                  <c:v>0.0882000755857899</c:v>
                </c:pt>
                <c:pt idx="90">
                  <c:v>0.0901889644746788</c:v>
                </c:pt>
                <c:pt idx="91">
                  <c:v>0.0922000755857899</c:v>
                </c:pt>
                <c:pt idx="92">
                  <c:v>0.0942334089191232</c:v>
                </c:pt>
                <c:pt idx="93">
                  <c:v>0.0962889644746788</c:v>
                </c:pt>
                <c:pt idx="94">
                  <c:v>0.0983667422524566</c:v>
                </c:pt>
                <c:pt idx="95">
                  <c:v>0.100466742252457</c:v>
                </c:pt>
                <c:pt idx="96">
                  <c:v>0.102588964474679</c:v>
                </c:pt>
                <c:pt idx="97">
                  <c:v>0.104733408919123</c:v>
                </c:pt>
                <c:pt idx="98">
                  <c:v>0.10690007558579</c:v>
                </c:pt>
                <c:pt idx="99">
                  <c:v>0.109088964474679</c:v>
                </c:pt>
                <c:pt idx="100">
                  <c:v>0.11130007558579</c:v>
                </c:pt>
                <c:pt idx="101">
                  <c:v>0.113533408919123</c:v>
                </c:pt>
                <c:pt idx="102">
                  <c:v>0.115788964474679</c:v>
                </c:pt>
                <c:pt idx="103">
                  <c:v>0.118066742252457</c:v>
                </c:pt>
                <c:pt idx="104">
                  <c:v>0.120366742252457</c:v>
                </c:pt>
                <c:pt idx="105">
                  <c:v>0.122688964474679</c:v>
                </c:pt>
                <c:pt idx="106">
                  <c:v>0.125033408919123</c:v>
                </c:pt>
                <c:pt idx="107">
                  <c:v>0.12740007558579</c:v>
                </c:pt>
                <c:pt idx="108">
                  <c:v>0.129788964474679</c:v>
                </c:pt>
                <c:pt idx="109">
                  <c:v>0.13220007558579</c:v>
                </c:pt>
                <c:pt idx="110">
                  <c:v>0.134633408919123</c:v>
                </c:pt>
                <c:pt idx="111">
                  <c:v>0.137088964474679</c:v>
                </c:pt>
                <c:pt idx="112">
                  <c:v>0.139566742252457</c:v>
                </c:pt>
                <c:pt idx="113">
                  <c:v>0.142066742252457</c:v>
                </c:pt>
                <c:pt idx="114">
                  <c:v>0.144588964474679</c:v>
                </c:pt>
                <c:pt idx="115">
                  <c:v>0.147133408919123</c:v>
                </c:pt>
                <c:pt idx="116">
                  <c:v>0.14970007558579</c:v>
                </c:pt>
                <c:pt idx="117">
                  <c:v>0.152288964474679</c:v>
                </c:pt>
                <c:pt idx="118">
                  <c:v>0.15490007558579</c:v>
                </c:pt>
                <c:pt idx="119">
                  <c:v>0.157533408919123</c:v>
                </c:pt>
                <c:pt idx="120">
                  <c:v>0.160188964474679</c:v>
                </c:pt>
                <c:pt idx="121">
                  <c:v>0.162866742252457</c:v>
                </c:pt>
                <c:pt idx="122">
                  <c:v>0.165566742252457</c:v>
                </c:pt>
                <c:pt idx="123">
                  <c:v>0.168288964474679</c:v>
                </c:pt>
                <c:pt idx="124">
                  <c:v>0.171033408919123</c:v>
                </c:pt>
                <c:pt idx="125">
                  <c:v>0.17380007558579</c:v>
                </c:pt>
                <c:pt idx="126">
                  <c:v>0.176588964474679</c:v>
                </c:pt>
                <c:pt idx="127">
                  <c:v>0.17940007558579</c:v>
                </c:pt>
                <c:pt idx="128">
                  <c:v>0.182233408919123</c:v>
                </c:pt>
                <c:pt idx="129">
                  <c:v>0.185088964474679</c:v>
                </c:pt>
                <c:pt idx="130">
                  <c:v>0.187966742252457</c:v>
                </c:pt>
                <c:pt idx="131">
                  <c:v>0.190866742252457</c:v>
                </c:pt>
                <c:pt idx="132">
                  <c:v>0.193788964474679</c:v>
                </c:pt>
                <c:pt idx="133">
                  <c:v>0.196733408919123</c:v>
                </c:pt>
                <c:pt idx="134">
                  <c:v>0.19970007558579</c:v>
                </c:pt>
                <c:pt idx="135">
                  <c:v>0.202688964474679</c:v>
                </c:pt>
                <c:pt idx="136">
                  <c:v>0.20570007558579</c:v>
                </c:pt>
                <c:pt idx="137">
                  <c:v>0.208733408919123</c:v>
                </c:pt>
                <c:pt idx="138">
                  <c:v>0.211788964474679</c:v>
                </c:pt>
                <c:pt idx="139">
                  <c:v>0.214866742252457</c:v>
                </c:pt>
                <c:pt idx="140">
                  <c:v>0.217966742252457</c:v>
                </c:pt>
                <c:pt idx="141">
                  <c:v>0.221088964474679</c:v>
                </c:pt>
                <c:pt idx="142">
                  <c:v>0.224233408919123</c:v>
                </c:pt>
                <c:pt idx="143">
                  <c:v>0.22740007558579</c:v>
                </c:pt>
                <c:pt idx="144">
                  <c:v>0.230588964474679</c:v>
                </c:pt>
                <c:pt idx="145">
                  <c:v>0.23380007558579</c:v>
                </c:pt>
                <c:pt idx="146">
                  <c:v>0.237033408919123</c:v>
                </c:pt>
                <c:pt idx="147">
                  <c:v>0.240288964474679</c:v>
                </c:pt>
                <c:pt idx="148">
                  <c:v>0.243566742252457</c:v>
                </c:pt>
                <c:pt idx="149">
                  <c:v>0.246866742252457</c:v>
                </c:pt>
                <c:pt idx="150">
                  <c:v>0.250188964474679</c:v>
                </c:pt>
              </c:numCache>
            </c:numRef>
          </c:yVal>
          <c:smooth val="1"/>
        </c:ser>
        <c:dLbls>
          <c:showLegendKey val="0"/>
          <c:showVal val="0"/>
          <c:showCatName val="0"/>
          <c:showSerName val="0"/>
          <c:showPercent val="0"/>
          <c:showBubbleSize val="0"/>
        </c:dLbls>
        <c:axId val="174879488"/>
        <c:axId val="174877312"/>
      </c:scatterChart>
      <c:valAx>
        <c:axId val="174861312"/>
        <c:scaling>
          <c:orientation val="minMax"/>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5392"/>
        <c:crosses val="autoZero"/>
        <c:crossBetween val="midCat"/>
      </c:valAx>
      <c:valAx>
        <c:axId val="174875392"/>
        <c:scaling>
          <c:orientation val="minMax"/>
          <c:max val="100"/>
          <c:min val="60"/>
        </c:scaling>
        <c:delete val="0"/>
        <c:axPos val="l"/>
        <c:majorGridlines/>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Efficiency</a:t>
                </a:r>
                <a:r>
                  <a:rPr lang="en-US" sz="1400" baseline="0"/>
                  <a:t> (%)</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61312"/>
        <c:crosses val="autoZero"/>
        <c:crossBetween val="midCat"/>
      </c:valAx>
      <c:valAx>
        <c:axId val="174879488"/>
        <c:scaling>
          <c:orientation val="minMax"/>
        </c:scaling>
        <c:delete val="1"/>
        <c:axPos val="b"/>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Loac</a:t>
                </a:r>
                <a:r>
                  <a:rPr lang="en-US" baseline="0"/>
                  <a:t> Current (A)</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7312"/>
        <c:crosses val="autoZero"/>
        <c:crossBetween val="midCat"/>
      </c:valAx>
      <c:valAx>
        <c:axId val="174877312"/>
        <c:scaling>
          <c:orientation val="minMax"/>
        </c:scaling>
        <c:delete val="0"/>
        <c:axPos val="r"/>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Losses</a:t>
                </a:r>
                <a:r>
                  <a:rPr lang="en-US" sz="1400" baseline="0"/>
                  <a:t> (W)</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9488"/>
        <c:crosses val="max"/>
        <c:crossBetween val="midCat"/>
      </c:valAx>
    </c:plotArea>
    <c:legend>
      <c:legendPos val="r"/>
      <c:layout>
        <c:manualLayout>
          <c:xMode val="edge"/>
          <c:yMode val="edge"/>
          <c:x val="0.518944039261904"/>
          <c:y val="0.00648622047244094"/>
          <c:w val="0.396095729357041"/>
          <c:h val="0.121836530997006"/>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2cd760a-0aef-445a-9430-01ae95e28fab}"/>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Efficiency</a:t>
            </a:r>
            <a:endParaRPr lang="en-US"/>
          </a:p>
        </c:rich>
      </c:tx>
      <c:layout/>
      <c:overlay val="0"/>
    </c:title>
    <c:autoTitleDeleted val="0"/>
    <c:plotArea>
      <c:layout/>
      <c:scatterChart>
        <c:scatterStyle val="smooth"/>
        <c:varyColors val="0"/>
        <c:ser>
          <c:idx val="0"/>
          <c:order val="0"/>
          <c:tx>
            <c:strRef>
              <c:f>"Eff"</c:f>
              <c:strCache>
                <c:ptCount val="1"/>
                <c:pt idx="0">
                  <c:v>Eff</c:v>
                </c:pt>
              </c:strCache>
            </c:strRef>
          </c:tx>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Eff_vs_IOUT!$AT$7:$AT$157</c:f>
              <c:numCache>
                <c:formatCode>General</c:formatCode>
                <c:ptCount val="151"/>
                <c:pt idx="0">
                  <c:v>0</c:v>
                </c:pt>
                <c:pt idx="1">
                  <c:v>44.7233627032887</c:v>
                </c:pt>
                <c:pt idx="2">
                  <c:v>61.7249910870888</c:v>
                </c:pt>
                <c:pt idx="3">
                  <c:v>70.6628846613244</c:v>
                </c:pt>
                <c:pt idx="4">
                  <c:v>76.1622591187837</c:v>
                </c:pt>
                <c:pt idx="5">
                  <c:v>79.8787541642721</c:v>
                </c:pt>
                <c:pt idx="6">
                  <c:v>82.7324560379226</c:v>
                </c:pt>
                <c:pt idx="7">
                  <c:v>84.7859888965024</c:v>
                </c:pt>
                <c:pt idx="8">
                  <c:v>86.391742003971</c:v>
                </c:pt>
                <c:pt idx="9">
                  <c:v>87.6809906393113</c:v>
                </c:pt>
                <c:pt idx="10">
                  <c:v>88.7382641220843</c:v>
                </c:pt>
                <c:pt idx="11">
                  <c:v>89.6204521853824</c:v>
                </c:pt>
                <c:pt idx="12">
                  <c:v>90.3672483441022</c:v>
                </c:pt>
                <c:pt idx="13">
                  <c:v>91.0071908283457</c:v>
                </c:pt>
                <c:pt idx="14">
                  <c:v>91.5613241162418</c:v>
                </c:pt>
                <c:pt idx="15">
                  <c:v>92.0455071070635</c:v>
                </c:pt>
                <c:pt idx="16">
                  <c:v>92.4719176632854</c:v>
                </c:pt>
                <c:pt idx="17">
                  <c:v>92.8500620496666</c:v>
                </c:pt>
                <c:pt idx="18">
                  <c:v>93.1874694651864</c:v>
                </c:pt>
                <c:pt idx="19">
                  <c:v>93.490180615654</c:v>
                </c:pt>
                <c:pt idx="20">
                  <c:v>93.7630982264787</c:v>
                </c:pt>
                <c:pt idx="21">
                  <c:v>94.0102429632131</c:v>
                </c:pt>
                <c:pt idx="22">
                  <c:v>94.2349432599867</c:v>
                </c:pt>
                <c:pt idx="23">
                  <c:v>94.4399781472883</c:v>
                </c:pt>
                <c:pt idx="24">
                  <c:v>94.6276861177148</c:v>
                </c:pt>
                <c:pt idx="25">
                  <c:v>94.8000490920718</c:v>
                </c:pt>
                <c:pt idx="26">
                  <c:v>94.9587578860387</c:v>
                </c:pt>
                <c:pt idx="27">
                  <c:v>95.1052637640768</c:v>
                </c:pt>
                <c:pt idx="28">
                  <c:v>95.2408194120563</c:v>
                </c:pt>
                <c:pt idx="29">
                  <c:v>95.3665117785327</c:v>
                </c:pt>
                <c:pt idx="30">
                  <c:v>95.483288607083</c:v>
                </c:pt>
                <c:pt idx="31">
                  <c:v>95.5919800298014</c:v>
                </c:pt>
                <c:pt idx="32">
                  <c:v>95.693316262241</c:v>
                </c:pt>
                <c:pt idx="33">
                  <c:v>95.7879421969798</c:v>
                </c:pt>
                <c:pt idx="34">
                  <c:v>95.876429511982</c:v>
                </c:pt>
                <c:pt idx="35">
                  <c:v>95.9592867738815</c:v>
                </c:pt>
                <c:pt idx="36">
                  <c:v>96.0369679131508</c:v>
                </c:pt>
                <c:pt idx="37">
                  <c:v>96.1098793692438</c:v>
                </c:pt>
                <c:pt idx="38">
                  <c:v>96.1783861430162</c:v>
                </c:pt>
                <c:pt idx="39">
                  <c:v>96.2428169465421</c:v>
                </c:pt>
                <c:pt idx="40">
                  <c:v>96.3034686035596</c:v>
                </c:pt>
                <c:pt idx="41">
                  <c:v>96.3606098247501</c:v>
                </c:pt>
                <c:pt idx="42">
                  <c:v>96.4144844590747</c:v>
                </c:pt>
                <c:pt idx="43">
                  <c:v>96.4653143040828</c:v>
                </c:pt>
                <c:pt idx="44">
                  <c:v>96.5133015434438</c:v>
                </c:pt>
                <c:pt idx="45">
                  <c:v>96.5586308681424</c:v>
                </c:pt>
                <c:pt idx="46">
                  <c:v>96.6014713282198</c:v>
                </c:pt>
                <c:pt idx="47">
                  <c:v>96.6419779541653</c:v>
                </c:pt>
                <c:pt idx="48">
                  <c:v>96.6802931807105</c:v>
                </c:pt>
                <c:pt idx="49">
                  <c:v>96.7165481005604</c:v>
                </c:pt>
                <c:pt idx="50">
                  <c:v>96.7508635712984</c:v>
                </c:pt>
                <c:pt idx="51">
                  <c:v>96.7833511951411</c:v>
                </c:pt>
                <c:pt idx="52">
                  <c:v>96.8141141882629</c:v>
                </c:pt>
                <c:pt idx="53">
                  <c:v>96.8432481539445</c:v>
                </c:pt>
                <c:pt idx="54">
                  <c:v>96.8708417717337</c:v>
                </c:pt>
                <c:pt idx="55">
                  <c:v>96.8969774130733</c:v>
                </c:pt>
                <c:pt idx="56">
                  <c:v>96.9217316923907</c:v>
                </c:pt>
                <c:pt idx="57">
                  <c:v>96.9451759614055</c:v>
                </c:pt>
                <c:pt idx="58">
                  <c:v>96.9673767533671</c:v>
                </c:pt>
                <c:pt idx="59">
                  <c:v>96.98839618304</c:v>
                </c:pt>
                <c:pt idx="60">
                  <c:v>97.0082923074962</c:v>
                </c:pt>
                <c:pt idx="61">
                  <c:v>97.0271194521231</c:v>
                </c:pt>
                <c:pt idx="62">
                  <c:v>97.0449285056968</c:v>
                </c:pt>
                <c:pt idx="63">
                  <c:v>97.0617671878941</c:v>
                </c:pt>
                <c:pt idx="64">
                  <c:v>97.0776802921974</c:v>
                </c:pt>
                <c:pt idx="65">
                  <c:v>97.0927099067967</c:v>
                </c:pt>
                <c:pt idx="66">
                  <c:v>97.1068956157771</c:v>
                </c:pt>
                <c:pt idx="67">
                  <c:v>97.1202746826152</c:v>
                </c:pt>
                <c:pt idx="68">
                  <c:v>97.1328822177729</c:v>
                </c:pt>
                <c:pt idx="69">
                  <c:v>97.1447513319744</c:v>
                </c:pt>
                <c:pt idx="70">
                  <c:v>97.1559132765715</c:v>
                </c:pt>
                <c:pt idx="71">
                  <c:v>97.1663975722501</c:v>
                </c:pt>
                <c:pt idx="72">
                  <c:v>97.1762321271922</c:v>
                </c:pt>
                <c:pt idx="73">
                  <c:v>97.1854433456865</c:v>
                </c:pt>
                <c:pt idx="74">
                  <c:v>97.1940562280775</c:v>
                </c:pt>
                <c:pt idx="75">
                  <c:v>97.2020944628475</c:v>
                </c:pt>
                <c:pt idx="76">
                  <c:v>97.2095805115462</c:v>
                </c:pt>
                <c:pt idx="77">
                  <c:v>97.2165356872054</c:v>
                </c:pt>
                <c:pt idx="78">
                  <c:v>97.2229802268161</c:v>
                </c:pt>
                <c:pt idx="79">
                  <c:v>97.2289333583863</c:v>
                </c:pt>
                <c:pt idx="80">
                  <c:v>97.2344133630448</c:v>
                </c:pt>
                <c:pt idx="81">
                  <c:v>97.2394376326142</c:v>
                </c:pt>
                <c:pt idx="82">
                  <c:v>97.2440227230337</c:v>
                </c:pt>
                <c:pt idx="83">
                  <c:v>97.2481844039764</c:v>
                </c:pt>
                <c:pt idx="84">
                  <c:v>97.2519377049736</c:v>
                </c:pt>
                <c:pt idx="85">
                  <c:v>97.2552969583306</c:v>
                </c:pt>
                <c:pt idx="86">
                  <c:v>97.2582758390895</c:v>
                </c:pt>
                <c:pt idx="87">
                  <c:v>97.2608874022755</c:v>
                </c:pt>
                <c:pt idx="88">
                  <c:v>97.263144117638</c:v>
                </c:pt>
                <c:pt idx="89">
                  <c:v>97.2650579020825</c:v>
                </c:pt>
                <c:pt idx="90">
                  <c:v>97.2666401499686</c:v>
                </c:pt>
                <c:pt idx="91">
                  <c:v>97.2679017614378</c:v>
                </c:pt>
                <c:pt idx="92">
                  <c:v>97.2688531689179</c:v>
                </c:pt>
                <c:pt idx="93">
                  <c:v>97.2695043619397</c:v>
                </c:pt>
                <c:pt idx="94">
                  <c:v>97.2698649103908</c:v>
                </c:pt>
                <c:pt idx="95">
                  <c:v>97.2699439863186</c:v>
                </c:pt>
                <c:pt idx="96">
                  <c:v>97.2697503843888</c:v>
                </c:pt>
                <c:pt idx="97">
                  <c:v>97.2692925410938</c:v>
                </c:pt>
                <c:pt idx="98">
                  <c:v>97.2685785527997</c:v>
                </c:pt>
                <c:pt idx="99">
                  <c:v>97.2676161927133</c:v>
                </c:pt>
                <c:pt idx="100">
                  <c:v>97.2664129268431</c:v>
                </c:pt>
                <c:pt idx="101">
                  <c:v>97.2649759290239</c:v>
                </c:pt>
                <c:pt idx="102">
                  <c:v>97.263312095068</c:v>
                </c:pt>
                <c:pt idx="103">
                  <c:v>97.2614280561017</c:v>
                </c:pt>
                <c:pt idx="104">
                  <c:v>97.2593301911416</c:v>
                </c:pt>
                <c:pt idx="105">
                  <c:v>97.2570246389604</c:v>
                </c:pt>
                <c:pt idx="106">
                  <c:v>97.2545173092891</c:v>
                </c:pt>
                <c:pt idx="107">
                  <c:v>97.2518138933977</c:v>
                </c:pt>
                <c:pt idx="108">
                  <c:v>97.2489198740953</c:v>
                </c:pt>
                <c:pt idx="109">
                  <c:v>97.2458405351855</c:v>
                </c:pt>
                <c:pt idx="110">
                  <c:v>97.2425809704116</c:v>
                </c:pt>
                <c:pt idx="111">
                  <c:v>97.2391460919242</c:v>
                </c:pt>
                <c:pt idx="112">
                  <c:v>97.2355406382997</c:v>
                </c:pt>
                <c:pt idx="113">
                  <c:v>97.2317691821375</c:v>
                </c:pt>
                <c:pt idx="114">
                  <c:v>97.227836137262</c:v>
                </c:pt>
                <c:pt idx="115">
                  <c:v>97.2237457655527</c:v>
                </c:pt>
                <c:pt idx="116">
                  <c:v>97.2195021834245</c:v>
                </c:pt>
                <c:pt idx="117">
                  <c:v>97.2151093679795</c:v>
                </c:pt>
                <c:pt idx="118">
                  <c:v>97.2105711628492</c:v>
                </c:pt>
                <c:pt idx="119">
                  <c:v>97.2058912837445</c:v>
                </c:pt>
                <c:pt idx="120">
                  <c:v>97.2010733237323</c:v>
                </c:pt>
                <c:pt idx="121">
                  <c:v>97.1961207582516</c:v>
                </c:pt>
                <c:pt idx="122">
                  <c:v>97.1910369498866</c:v>
                </c:pt>
                <c:pt idx="123">
                  <c:v>97.1858251529086</c:v>
                </c:pt>
                <c:pt idx="124">
                  <c:v>97.1804885176006</c:v>
                </c:pt>
                <c:pt idx="125">
                  <c:v>97.175030094376</c:v>
                </c:pt>
                <c:pt idx="126">
                  <c:v>97.1694528377035</c:v>
                </c:pt>
                <c:pt idx="127">
                  <c:v>97.1637596098483</c:v>
                </c:pt>
                <c:pt idx="128">
                  <c:v>97.157953184439</c:v>
                </c:pt>
                <c:pt idx="129">
                  <c:v>97.1520362498711</c:v>
                </c:pt>
                <c:pt idx="130">
                  <c:v>97.146011412554</c:v>
                </c:pt>
                <c:pt idx="131">
                  <c:v>97.1398812000116</c:v>
                </c:pt>
                <c:pt idx="132">
                  <c:v>97.1336480638422</c:v>
                </c:pt>
                <c:pt idx="133">
                  <c:v>97.1273143825471</c:v>
                </c:pt>
                <c:pt idx="134">
                  <c:v>97.120882464233</c:v>
                </c:pt>
                <c:pt idx="135">
                  <c:v>97.1143545491958</c:v>
                </c:pt>
                <c:pt idx="136">
                  <c:v>97.1077328123912</c:v>
                </c:pt>
                <c:pt idx="137">
                  <c:v>97.1010193657981</c:v>
                </c:pt>
                <c:pt idx="138">
                  <c:v>97.09421626068</c:v>
                </c:pt>
                <c:pt idx="139">
                  <c:v>97.0873254897504</c:v>
                </c:pt>
                <c:pt idx="140">
                  <c:v>97.0803489892451</c:v>
                </c:pt>
                <c:pt idx="141">
                  <c:v>97.0732886409078</c:v>
                </c:pt>
                <c:pt idx="142">
                  <c:v>97.0661462738925</c:v>
                </c:pt>
                <c:pt idx="143">
                  <c:v>97.0589236665862</c:v>
                </c:pt>
                <c:pt idx="144">
                  <c:v>97.0516225483571</c:v>
                </c:pt>
                <c:pt idx="145">
                  <c:v>97.0442446012307</c:v>
                </c:pt>
                <c:pt idx="146">
                  <c:v>97.0367914614971</c:v>
                </c:pt>
                <c:pt idx="147">
                  <c:v>97.0292647212542</c:v>
                </c:pt>
                <c:pt idx="148">
                  <c:v>97.0216659298882</c:v>
                </c:pt>
                <c:pt idx="149">
                  <c:v>97.0139965954951</c:v>
                </c:pt>
                <c:pt idx="150">
                  <c:v>97.0062581862458</c:v>
                </c:pt>
              </c:numCache>
            </c:numRef>
          </c:yVal>
          <c:smooth val="0"/>
        </c:ser>
        <c:dLbls>
          <c:showLegendKey val="0"/>
          <c:showVal val="0"/>
          <c:showCatName val="0"/>
          <c:showSerName val="0"/>
          <c:showPercent val="0"/>
          <c:showBubbleSize val="0"/>
        </c:dLbls>
        <c:axId val="175638784"/>
        <c:axId val="175648768"/>
      </c:scatterChart>
      <c:scatterChart>
        <c:scatterStyle val="smooth"/>
        <c:varyColors val="0"/>
        <c:ser>
          <c:idx val="1"/>
          <c:order val="1"/>
          <c:tx>
            <c:strRef>
              <c:f>"MOSFET"</c:f>
              <c:strCache>
                <c:ptCount val="1"/>
                <c:pt idx="0">
                  <c:v>MOSFET</c:v>
                </c:pt>
              </c:strCache>
            </c:strRef>
          </c:tx>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Eff_vs_IOUT!$AI$7:$AI$157</c:f>
              <c:numCache>
                <c:formatCode>General</c:formatCode>
                <c:ptCount val="151"/>
                <c:pt idx="0">
                  <c:v>0</c:v>
                </c:pt>
                <c:pt idx="1">
                  <c:v>-0.0018491052270604</c:v>
                </c:pt>
                <c:pt idx="2">
                  <c:v>-0.00363292004034159</c:v>
                </c:pt>
                <c:pt idx="3">
                  <c:v>-0.0053578696421986</c:v>
                </c:pt>
                <c:pt idx="4">
                  <c:v>-0.00702487010589411</c:v>
                </c:pt>
                <c:pt idx="5">
                  <c:v>-0.00863373368107312</c:v>
                </c:pt>
                <c:pt idx="6">
                  <c:v>-0.0110165834863775</c:v>
                </c:pt>
                <c:pt idx="7">
                  <c:v>-0.0128225963299751</c:v>
                </c:pt>
                <c:pt idx="8">
                  <c:v>-0.0146141647291282</c:v>
                </c:pt>
                <c:pt idx="9">
                  <c:v>-0.0163912886838369</c:v>
                </c:pt>
                <c:pt idx="10">
                  <c:v>-0.0181539681941011</c:v>
                </c:pt>
                <c:pt idx="11">
                  <c:v>-0.0199022032599209</c:v>
                </c:pt>
                <c:pt idx="12">
                  <c:v>-0.0216359938812963</c:v>
                </c:pt>
                <c:pt idx="13">
                  <c:v>-0.0233553400582271</c:v>
                </c:pt>
                <c:pt idx="14">
                  <c:v>-0.0250602417907136</c:v>
                </c:pt>
                <c:pt idx="15">
                  <c:v>-0.0267506990787556</c:v>
                </c:pt>
                <c:pt idx="16">
                  <c:v>-0.0284267119223532</c:v>
                </c:pt>
                <c:pt idx="17">
                  <c:v>-0.0300882803215063</c:v>
                </c:pt>
                <c:pt idx="18">
                  <c:v>-0.031735404276215</c:v>
                </c:pt>
                <c:pt idx="19">
                  <c:v>-0.0333680837864792</c:v>
                </c:pt>
                <c:pt idx="20">
                  <c:v>-0.034986318852299</c:v>
                </c:pt>
                <c:pt idx="21">
                  <c:v>-0.0365901094736743</c:v>
                </c:pt>
                <c:pt idx="22">
                  <c:v>-0.0381794556506052</c:v>
                </c:pt>
                <c:pt idx="23">
                  <c:v>-0.0397543573830917</c:v>
                </c:pt>
                <c:pt idx="24">
                  <c:v>-0.0413148146711337</c:v>
                </c:pt>
                <c:pt idx="25">
                  <c:v>-0.0428608275147313</c:v>
                </c:pt>
                <c:pt idx="26">
                  <c:v>-0.0443923959138844</c:v>
                </c:pt>
                <c:pt idx="27">
                  <c:v>-0.0459095198685931</c:v>
                </c:pt>
                <c:pt idx="28">
                  <c:v>-0.0474121993788573</c:v>
                </c:pt>
                <c:pt idx="29">
                  <c:v>-0.0489004344446771</c:v>
                </c:pt>
                <c:pt idx="30">
                  <c:v>-0.0503742250660524</c:v>
                </c:pt>
                <c:pt idx="31">
                  <c:v>-0.0518335712429833</c:v>
                </c:pt>
                <c:pt idx="32">
                  <c:v>-0.0532784729754698</c:v>
                </c:pt>
                <c:pt idx="33">
                  <c:v>-0.0547089302635118</c:v>
                </c:pt>
                <c:pt idx="34">
                  <c:v>-0.0561249431071093</c:v>
                </c:pt>
                <c:pt idx="35">
                  <c:v>-0.0575265115062625</c:v>
                </c:pt>
                <c:pt idx="36">
                  <c:v>-0.0589136354609711</c:v>
                </c:pt>
                <c:pt idx="37">
                  <c:v>-0.0602863149712354</c:v>
                </c:pt>
                <c:pt idx="38">
                  <c:v>-0.0616445500370552</c:v>
                </c:pt>
                <c:pt idx="39">
                  <c:v>-0.0629883406584305</c:v>
                </c:pt>
                <c:pt idx="40">
                  <c:v>-0.0643176868353614</c:v>
                </c:pt>
                <c:pt idx="41">
                  <c:v>-0.0656325885678479</c:v>
                </c:pt>
                <c:pt idx="42">
                  <c:v>-0.0669330458558899</c:v>
                </c:pt>
                <c:pt idx="43">
                  <c:v>-0.0682190586994874</c:v>
                </c:pt>
                <c:pt idx="44">
                  <c:v>-0.0694906270986406</c:v>
                </c:pt>
                <c:pt idx="45">
                  <c:v>-0.0707477510533492</c:v>
                </c:pt>
                <c:pt idx="46">
                  <c:v>-0.0719904305636135</c:v>
                </c:pt>
                <c:pt idx="47">
                  <c:v>-0.0732186656294333</c:v>
                </c:pt>
                <c:pt idx="48">
                  <c:v>-0.0744324562508086</c:v>
                </c:pt>
                <c:pt idx="49">
                  <c:v>-0.0756318024277395</c:v>
                </c:pt>
                <c:pt idx="50">
                  <c:v>-0.076816704160226</c:v>
                </c:pt>
                <c:pt idx="51">
                  <c:v>-0.0779871614482679</c:v>
                </c:pt>
                <c:pt idx="52">
                  <c:v>-0.0791431742918655</c:v>
                </c:pt>
                <c:pt idx="53">
                  <c:v>-0.0802847426910186</c:v>
                </c:pt>
                <c:pt idx="54">
                  <c:v>-0.0814118666457273</c:v>
                </c:pt>
                <c:pt idx="55">
                  <c:v>-0.0825245461559915</c:v>
                </c:pt>
                <c:pt idx="56">
                  <c:v>-0.0836227812218113</c:v>
                </c:pt>
                <c:pt idx="57">
                  <c:v>-0.0847065718431867</c:v>
                </c:pt>
                <c:pt idx="58">
                  <c:v>-0.0857759180201176</c:v>
                </c:pt>
                <c:pt idx="59">
                  <c:v>-0.0868308197526041</c:v>
                </c:pt>
                <c:pt idx="60">
                  <c:v>-0.087871277040646</c:v>
                </c:pt>
                <c:pt idx="61">
                  <c:v>-0.0888972898842436</c:v>
                </c:pt>
                <c:pt idx="62">
                  <c:v>-0.0899088582833967</c:v>
                </c:pt>
                <c:pt idx="63">
                  <c:v>-0.0909059822381054</c:v>
                </c:pt>
                <c:pt idx="64">
                  <c:v>-0.0918886617483696</c:v>
                </c:pt>
                <c:pt idx="65">
                  <c:v>-0.0928568968141894</c:v>
                </c:pt>
                <c:pt idx="66">
                  <c:v>-0.0938106874355648</c:v>
                </c:pt>
                <c:pt idx="67">
                  <c:v>-0.0947500336124957</c:v>
                </c:pt>
                <c:pt idx="68">
                  <c:v>-0.0956749353449821</c:v>
                </c:pt>
                <c:pt idx="69">
                  <c:v>-0.0965853926330241</c:v>
                </c:pt>
                <c:pt idx="70">
                  <c:v>-0.0974814054766217</c:v>
                </c:pt>
                <c:pt idx="71">
                  <c:v>-0.0983629738757748</c:v>
                </c:pt>
                <c:pt idx="72">
                  <c:v>-0.0992300978304835</c:v>
                </c:pt>
                <c:pt idx="73">
                  <c:v>-0.100082777340748</c:v>
                </c:pt>
                <c:pt idx="74">
                  <c:v>-0.100921012406567</c:v>
                </c:pt>
                <c:pt idx="75">
                  <c:v>-0.101744803027943</c:v>
                </c:pt>
                <c:pt idx="76">
                  <c:v>-0.102554149204874</c:v>
                </c:pt>
                <c:pt idx="77">
                  <c:v>-0.10334905093736</c:v>
                </c:pt>
                <c:pt idx="78">
                  <c:v>-0.104129508225402</c:v>
                </c:pt>
                <c:pt idx="79">
                  <c:v>-0.104895521069</c:v>
                </c:pt>
                <c:pt idx="80">
                  <c:v>-0.105647089468153</c:v>
                </c:pt>
                <c:pt idx="81">
                  <c:v>-0.106384213422862</c:v>
                </c:pt>
                <c:pt idx="82">
                  <c:v>-0.107106892933126</c:v>
                </c:pt>
                <c:pt idx="83">
                  <c:v>-0.107815127998946</c:v>
                </c:pt>
                <c:pt idx="84">
                  <c:v>-0.108508918620321</c:v>
                </c:pt>
                <c:pt idx="85">
                  <c:v>-0.109188264797252</c:v>
                </c:pt>
                <c:pt idx="86">
                  <c:v>-0.109853166529738</c:v>
                </c:pt>
                <c:pt idx="87">
                  <c:v>-0.11050362381778</c:v>
                </c:pt>
                <c:pt idx="88">
                  <c:v>-0.111139636661378</c:v>
                </c:pt>
                <c:pt idx="89">
                  <c:v>-0.111761205060531</c:v>
                </c:pt>
                <c:pt idx="90">
                  <c:v>-0.11236832901524</c:v>
                </c:pt>
                <c:pt idx="91">
                  <c:v>-0.112961008525504</c:v>
                </c:pt>
                <c:pt idx="92">
                  <c:v>-0.113539243591324</c:v>
                </c:pt>
                <c:pt idx="93">
                  <c:v>-0.114103034212699</c:v>
                </c:pt>
                <c:pt idx="94">
                  <c:v>-0.11465238038963</c:v>
                </c:pt>
                <c:pt idx="95">
                  <c:v>-0.115187282122116</c:v>
                </c:pt>
                <c:pt idx="96">
                  <c:v>-0.115707739410158</c:v>
                </c:pt>
                <c:pt idx="97">
                  <c:v>-0.116213752253756</c:v>
                </c:pt>
                <c:pt idx="98">
                  <c:v>-0.116705320652909</c:v>
                </c:pt>
                <c:pt idx="99">
                  <c:v>-0.117182444607618</c:v>
                </c:pt>
                <c:pt idx="100">
                  <c:v>-0.117645124117882</c:v>
                </c:pt>
                <c:pt idx="101">
                  <c:v>-0.118093359183702</c:v>
                </c:pt>
                <c:pt idx="102">
                  <c:v>-0.118527149805077</c:v>
                </c:pt>
                <c:pt idx="103">
                  <c:v>-0.118946495982008</c:v>
                </c:pt>
                <c:pt idx="104">
                  <c:v>-0.119351397714494</c:v>
                </c:pt>
                <c:pt idx="105">
                  <c:v>-0.119741855002536</c:v>
                </c:pt>
                <c:pt idx="106">
                  <c:v>-0.120117867846134</c:v>
                </c:pt>
                <c:pt idx="107">
                  <c:v>-0.120479436245287</c:v>
                </c:pt>
                <c:pt idx="108">
                  <c:v>-0.120826560199996</c:v>
                </c:pt>
                <c:pt idx="109">
                  <c:v>-0.12115923971026</c:v>
                </c:pt>
                <c:pt idx="110">
                  <c:v>-0.12147747477608</c:v>
                </c:pt>
                <c:pt idx="111">
                  <c:v>-0.121781265397455</c:v>
                </c:pt>
                <c:pt idx="112">
                  <c:v>-0.122070611574386</c:v>
                </c:pt>
                <c:pt idx="113">
                  <c:v>-0.122345513306873</c:v>
                </c:pt>
                <c:pt idx="114">
                  <c:v>-0.122605970594915</c:v>
                </c:pt>
                <c:pt idx="115">
                  <c:v>-0.122851983438512</c:v>
                </c:pt>
                <c:pt idx="116">
                  <c:v>-0.123083551837665</c:v>
                </c:pt>
                <c:pt idx="117">
                  <c:v>-0.123300675792374</c:v>
                </c:pt>
                <c:pt idx="118">
                  <c:v>-0.123503355302638</c:v>
                </c:pt>
                <c:pt idx="119">
                  <c:v>-0.123691590368458</c:v>
                </c:pt>
                <c:pt idx="120">
                  <c:v>-0.123865380989833</c:v>
                </c:pt>
                <c:pt idx="121">
                  <c:v>-0.124024727166764</c:v>
                </c:pt>
                <c:pt idx="122">
                  <c:v>-0.124169628899251</c:v>
                </c:pt>
                <c:pt idx="123">
                  <c:v>-0.124300086187293</c:v>
                </c:pt>
                <c:pt idx="124">
                  <c:v>-0.12441609903089</c:v>
                </c:pt>
                <c:pt idx="125">
                  <c:v>-0.124517667430043</c:v>
                </c:pt>
                <c:pt idx="126">
                  <c:v>-0.124604791384752</c:v>
                </c:pt>
                <c:pt idx="127">
                  <c:v>-0.124677470895016</c:v>
                </c:pt>
                <c:pt idx="128">
                  <c:v>-0.124735705960836</c:v>
                </c:pt>
                <c:pt idx="129">
                  <c:v>-0.124779496582211</c:v>
                </c:pt>
                <c:pt idx="130">
                  <c:v>-0.124808842759142</c:v>
                </c:pt>
                <c:pt idx="131">
                  <c:v>-0.124823744491629</c:v>
                </c:pt>
                <c:pt idx="132">
                  <c:v>-0.124824201779671</c:v>
                </c:pt>
                <c:pt idx="133">
                  <c:v>-0.124810214623268</c:v>
                </c:pt>
                <c:pt idx="134">
                  <c:v>-0.124781783022421</c:v>
                </c:pt>
                <c:pt idx="135">
                  <c:v>-0.12473890697713</c:v>
                </c:pt>
                <c:pt idx="136">
                  <c:v>-0.124681586487394</c:v>
                </c:pt>
                <c:pt idx="137">
                  <c:v>-0.124609821553214</c:v>
                </c:pt>
                <c:pt idx="138">
                  <c:v>-0.124523612174589</c:v>
                </c:pt>
                <c:pt idx="139">
                  <c:v>-0.12442295835152</c:v>
                </c:pt>
                <c:pt idx="140">
                  <c:v>-0.124307860084007</c:v>
                </c:pt>
                <c:pt idx="141">
                  <c:v>-0.124178317372049</c:v>
                </c:pt>
                <c:pt idx="142">
                  <c:v>-0.124034330215646</c:v>
                </c:pt>
                <c:pt idx="143">
                  <c:v>-0.1238758986148</c:v>
                </c:pt>
                <c:pt idx="144">
                  <c:v>-0.123703022569508</c:v>
                </c:pt>
                <c:pt idx="145">
                  <c:v>-0.123515702079772</c:v>
                </c:pt>
                <c:pt idx="146">
                  <c:v>-0.123313937145592</c:v>
                </c:pt>
                <c:pt idx="147">
                  <c:v>-0.123097727766967</c:v>
                </c:pt>
                <c:pt idx="148">
                  <c:v>-0.122867073943898</c:v>
                </c:pt>
                <c:pt idx="149">
                  <c:v>-0.122621975676385</c:v>
                </c:pt>
                <c:pt idx="150">
                  <c:v>-0.122362432964427</c:v>
                </c:pt>
              </c:numCache>
            </c:numRef>
          </c:yVal>
          <c:smooth val="1"/>
        </c:ser>
        <c:ser>
          <c:idx val="2"/>
          <c:order val="2"/>
          <c:tx>
            <c:strRef>
              <c:f>"Diode"</c:f>
              <c:strCache>
                <c:ptCount val="1"/>
                <c:pt idx="0">
                  <c:v>Diode</c:v>
                </c:pt>
              </c:strCache>
            </c:strRef>
          </c:tx>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Eff_vs_IOUT!$AN$7:$AN$157</c:f>
              <c:numCache>
                <c:formatCode>General</c:formatCode>
                <c:ptCount val="151"/>
                <c:pt idx="0">
                  <c:v>0</c:v>
                </c:pt>
                <c:pt idx="1">
                  <c:v>0.00216666666666667</c:v>
                </c:pt>
                <c:pt idx="2">
                  <c:v>0.00433333333333333</c:v>
                </c:pt>
                <c:pt idx="3">
                  <c:v>0.0065</c:v>
                </c:pt>
                <c:pt idx="4">
                  <c:v>0.00866666666666667</c:v>
                </c:pt>
                <c:pt idx="5">
                  <c:v>0.0108333333333333</c:v>
                </c:pt>
                <c:pt idx="6">
                  <c:v>0.013</c:v>
                </c:pt>
                <c:pt idx="7">
                  <c:v>0.0151666666666667</c:v>
                </c:pt>
                <c:pt idx="8">
                  <c:v>0.0173333333333333</c:v>
                </c:pt>
                <c:pt idx="9">
                  <c:v>0.0195</c:v>
                </c:pt>
                <c:pt idx="10">
                  <c:v>0.0216666666666667</c:v>
                </c:pt>
                <c:pt idx="11">
                  <c:v>0.0238333333333333</c:v>
                </c:pt>
                <c:pt idx="12">
                  <c:v>0.026</c:v>
                </c:pt>
                <c:pt idx="13">
                  <c:v>0.0281666666666667</c:v>
                </c:pt>
                <c:pt idx="14">
                  <c:v>0.0303333333333333</c:v>
                </c:pt>
                <c:pt idx="15">
                  <c:v>0.0325</c:v>
                </c:pt>
                <c:pt idx="16">
                  <c:v>0.0346666666666667</c:v>
                </c:pt>
                <c:pt idx="17">
                  <c:v>0.0368333333333333</c:v>
                </c:pt>
                <c:pt idx="18">
                  <c:v>0.039</c:v>
                </c:pt>
                <c:pt idx="19">
                  <c:v>0.0411666666666667</c:v>
                </c:pt>
                <c:pt idx="20">
                  <c:v>0.0433333333333333</c:v>
                </c:pt>
                <c:pt idx="21">
                  <c:v>0.0455</c:v>
                </c:pt>
                <c:pt idx="22">
                  <c:v>0.0476666666666667</c:v>
                </c:pt>
                <c:pt idx="23">
                  <c:v>0.0498333333333333</c:v>
                </c:pt>
                <c:pt idx="24">
                  <c:v>0.052</c:v>
                </c:pt>
                <c:pt idx="25">
                  <c:v>0.0541666666666667</c:v>
                </c:pt>
                <c:pt idx="26">
                  <c:v>0.0563333333333333</c:v>
                </c:pt>
                <c:pt idx="27">
                  <c:v>0.0585</c:v>
                </c:pt>
                <c:pt idx="28">
                  <c:v>0.0606666666666667</c:v>
                </c:pt>
                <c:pt idx="29">
                  <c:v>0.0628333333333333</c:v>
                </c:pt>
                <c:pt idx="30">
                  <c:v>0.065</c:v>
                </c:pt>
                <c:pt idx="31">
                  <c:v>0.0671666666666667</c:v>
                </c:pt>
                <c:pt idx="32">
                  <c:v>0.0693333333333333</c:v>
                </c:pt>
                <c:pt idx="33">
                  <c:v>0.0715</c:v>
                </c:pt>
                <c:pt idx="34">
                  <c:v>0.0736666666666667</c:v>
                </c:pt>
                <c:pt idx="35">
                  <c:v>0.0758333333333333</c:v>
                </c:pt>
                <c:pt idx="36">
                  <c:v>0.078</c:v>
                </c:pt>
                <c:pt idx="37">
                  <c:v>0.0801666666666667</c:v>
                </c:pt>
                <c:pt idx="38">
                  <c:v>0.0823333333333333</c:v>
                </c:pt>
                <c:pt idx="39">
                  <c:v>0.0845</c:v>
                </c:pt>
                <c:pt idx="40">
                  <c:v>0.0866666666666667</c:v>
                </c:pt>
                <c:pt idx="41">
                  <c:v>0.0888333333333333</c:v>
                </c:pt>
                <c:pt idx="42">
                  <c:v>0.091</c:v>
                </c:pt>
                <c:pt idx="43">
                  <c:v>0.0931666666666667</c:v>
                </c:pt>
                <c:pt idx="44">
                  <c:v>0.0953333333333333</c:v>
                </c:pt>
                <c:pt idx="45">
                  <c:v>0.0975</c:v>
                </c:pt>
                <c:pt idx="46">
                  <c:v>0.0996666666666667</c:v>
                </c:pt>
                <c:pt idx="47">
                  <c:v>0.101833333333333</c:v>
                </c:pt>
                <c:pt idx="48">
                  <c:v>0.104</c:v>
                </c:pt>
                <c:pt idx="49">
                  <c:v>0.106166666666667</c:v>
                </c:pt>
                <c:pt idx="50">
                  <c:v>0.108333333333333</c:v>
                </c:pt>
                <c:pt idx="51">
                  <c:v>0.1105</c:v>
                </c:pt>
                <c:pt idx="52">
                  <c:v>0.112666666666667</c:v>
                </c:pt>
                <c:pt idx="53">
                  <c:v>0.114833333333333</c:v>
                </c:pt>
                <c:pt idx="54">
                  <c:v>0.117</c:v>
                </c:pt>
                <c:pt idx="55">
                  <c:v>0.119166666666667</c:v>
                </c:pt>
                <c:pt idx="56">
                  <c:v>0.121333333333333</c:v>
                </c:pt>
                <c:pt idx="57">
                  <c:v>0.1235</c:v>
                </c:pt>
                <c:pt idx="58">
                  <c:v>0.125666666666667</c:v>
                </c:pt>
                <c:pt idx="59">
                  <c:v>0.127833333333333</c:v>
                </c:pt>
                <c:pt idx="60">
                  <c:v>0.13</c:v>
                </c:pt>
                <c:pt idx="61">
                  <c:v>0.132166666666667</c:v>
                </c:pt>
                <c:pt idx="62">
                  <c:v>0.134333333333333</c:v>
                </c:pt>
                <c:pt idx="63">
                  <c:v>0.1365</c:v>
                </c:pt>
                <c:pt idx="64">
                  <c:v>0.138666666666667</c:v>
                </c:pt>
                <c:pt idx="65">
                  <c:v>0.140833333333333</c:v>
                </c:pt>
                <c:pt idx="66">
                  <c:v>0.143</c:v>
                </c:pt>
                <c:pt idx="67">
                  <c:v>0.145166666666667</c:v>
                </c:pt>
                <c:pt idx="68">
                  <c:v>0.147333333333333</c:v>
                </c:pt>
                <c:pt idx="69">
                  <c:v>0.1495</c:v>
                </c:pt>
                <c:pt idx="70">
                  <c:v>0.151666666666667</c:v>
                </c:pt>
                <c:pt idx="71">
                  <c:v>0.153833333333333</c:v>
                </c:pt>
                <c:pt idx="72">
                  <c:v>0.156</c:v>
                </c:pt>
                <c:pt idx="73">
                  <c:v>0.158166666666667</c:v>
                </c:pt>
                <c:pt idx="74">
                  <c:v>0.160333333333333</c:v>
                </c:pt>
                <c:pt idx="75">
                  <c:v>0.1625</c:v>
                </c:pt>
                <c:pt idx="76">
                  <c:v>0.164666666666667</c:v>
                </c:pt>
                <c:pt idx="77">
                  <c:v>0.166833333333333</c:v>
                </c:pt>
                <c:pt idx="78">
                  <c:v>0.169</c:v>
                </c:pt>
                <c:pt idx="79">
                  <c:v>0.171166666666667</c:v>
                </c:pt>
                <c:pt idx="80">
                  <c:v>0.173333333333333</c:v>
                </c:pt>
                <c:pt idx="81">
                  <c:v>0.1755</c:v>
                </c:pt>
                <c:pt idx="82">
                  <c:v>0.177666666666667</c:v>
                </c:pt>
                <c:pt idx="83">
                  <c:v>0.179833333333333</c:v>
                </c:pt>
                <c:pt idx="84">
                  <c:v>0.182</c:v>
                </c:pt>
                <c:pt idx="85">
                  <c:v>0.184166666666667</c:v>
                </c:pt>
                <c:pt idx="86">
                  <c:v>0.186333333333333</c:v>
                </c:pt>
                <c:pt idx="87">
                  <c:v>0.1885</c:v>
                </c:pt>
                <c:pt idx="88">
                  <c:v>0.190666666666667</c:v>
                </c:pt>
                <c:pt idx="89">
                  <c:v>0.192833333333333</c:v>
                </c:pt>
                <c:pt idx="90">
                  <c:v>0.195</c:v>
                </c:pt>
                <c:pt idx="91">
                  <c:v>0.197166666666667</c:v>
                </c:pt>
                <c:pt idx="92">
                  <c:v>0.199333333333333</c:v>
                </c:pt>
                <c:pt idx="93">
                  <c:v>0.2015</c:v>
                </c:pt>
                <c:pt idx="94">
                  <c:v>0.203666666666667</c:v>
                </c:pt>
                <c:pt idx="95">
                  <c:v>0.205833333333333</c:v>
                </c:pt>
                <c:pt idx="96">
                  <c:v>0.208</c:v>
                </c:pt>
                <c:pt idx="97">
                  <c:v>0.210166666666667</c:v>
                </c:pt>
                <c:pt idx="98">
                  <c:v>0.212333333333333</c:v>
                </c:pt>
                <c:pt idx="99">
                  <c:v>0.2145</c:v>
                </c:pt>
                <c:pt idx="100">
                  <c:v>0.216666666666667</c:v>
                </c:pt>
                <c:pt idx="101">
                  <c:v>0.218833333333333</c:v>
                </c:pt>
                <c:pt idx="102">
                  <c:v>0.221</c:v>
                </c:pt>
                <c:pt idx="103">
                  <c:v>0.223166666666667</c:v>
                </c:pt>
                <c:pt idx="104">
                  <c:v>0.225333333333333</c:v>
                </c:pt>
                <c:pt idx="105">
                  <c:v>0.2275</c:v>
                </c:pt>
                <c:pt idx="106">
                  <c:v>0.229666666666667</c:v>
                </c:pt>
                <c:pt idx="107">
                  <c:v>0.231833333333333</c:v>
                </c:pt>
                <c:pt idx="108">
                  <c:v>0.234</c:v>
                </c:pt>
                <c:pt idx="109">
                  <c:v>0.236166666666667</c:v>
                </c:pt>
                <c:pt idx="110">
                  <c:v>0.238333333333333</c:v>
                </c:pt>
                <c:pt idx="111">
                  <c:v>0.2405</c:v>
                </c:pt>
                <c:pt idx="112">
                  <c:v>0.242666666666667</c:v>
                </c:pt>
                <c:pt idx="113">
                  <c:v>0.244833333333333</c:v>
                </c:pt>
                <c:pt idx="114">
                  <c:v>0.247</c:v>
                </c:pt>
                <c:pt idx="115">
                  <c:v>0.249166666666667</c:v>
                </c:pt>
                <c:pt idx="116">
                  <c:v>0.251333333333333</c:v>
                </c:pt>
                <c:pt idx="117">
                  <c:v>0.2535</c:v>
                </c:pt>
                <c:pt idx="118">
                  <c:v>0.255666666666667</c:v>
                </c:pt>
                <c:pt idx="119">
                  <c:v>0.257833333333333</c:v>
                </c:pt>
                <c:pt idx="120">
                  <c:v>0.26</c:v>
                </c:pt>
                <c:pt idx="121">
                  <c:v>0.262166666666667</c:v>
                </c:pt>
                <c:pt idx="122">
                  <c:v>0.264333333333333</c:v>
                </c:pt>
                <c:pt idx="123">
                  <c:v>0.2665</c:v>
                </c:pt>
                <c:pt idx="124">
                  <c:v>0.268666666666667</c:v>
                </c:pt>
                <c:pt idx="125">
                  <c:v>0.270833333333333</c:v>
                </c:pt>
                <c:pt idx="126">
                  <c:v>0.273</c:v>
                </c:pt>
                <c:pt idx="127">
                  <c:v>0.275166666666667</c:v>
                </c:pt>
                <c:pt idx="128">
                  <c:v>0.277333333333333</c:v>
                </c:pt>
                <c:pt idx="129">
                  <c:v>0.2795</c:v>
                </c:pt>
                <c:pt idx="130">
                  <c:v>0.281666666666667</c:v>
                </c:pt>
                <c:pt idx="131">
                  <c:v>0.283833333333333</c:v>
                </c:pt>
                <c:pt idx="132">
                  <c:v>0.286</c:v>
                </c:pt>
                <c:pt idx="133">
                  <c:v>0.288166666666667</c:v>
                </c:pt>
                <c:pt idx="134">
                  <c:v>0.290333333333333</c:v>
                </c:pt>
                <c:pt idx="135">
                  <c:v>0.2925</c:v>
                </c:pt>
                <c:pt idx="136">
                  <c:v>0.294666666666667</c:v>
                </c:pt>
                <c:pt idx="137">
                  <c:v>0.296833333333333</c:v>
                </c:pt>
                <c:pt idx="138">
                  <c:v>0.299</c:v>
                </c:pt>
                <c:pt idx="139">
                  <c:v>0.301166666666667</c:v>
                </c:pt>
                <c:pt idx="140">
                  <c:v>0.303333333333333</c:v>
                </c:pt>
                <c:pt idx="141">
                  <c:v>0.3055</c:v>
                </c:pt>
                <c:pt idx="142">
                  <c:v>0.307666666666667</c:v>
                </c:pt>
                <c:pt idx="143">
                  <c:v>0.309833333333333</c:v>
                </c:pt>
                <c:pt idx="144">
                  <c:v>0.312</c:v>
                </c:pt>
                <c:pt idx="145">
                  <c:v>0.314166666666667</c:v>
                </c:pt>
                <c:pt idx="146">
                  <c:v>0.316333333333333</c:v>
                </c:pt>
                <c:pt idx="147">
                  <c:v>0.3185</c:v>
                </c:pt>
                <c:pt idx="148">
                  <c:v>0.320666666666667</c:v>
                </c:pt>
                <c:pt idx="149">
                  <c:v>0.322833333333333</c:v>
                </c:pt>
                <c:pt idx="150">
                  <c:v>0.325</c:v>
                </c:pt>
              </c:numCache>
            </c:numRef>
          </c:yVal>
          <c:smooth val="1"/>
        </c:ser>
        <c:ser>
          <c:idx val="3"/>
          <c:order val="3"/>
          <c:tx>
            <c:strRef>
              <c:f>"RCS"</c:f>
              <c:strCache>
                <c:ptCount val="1"/>
                <c:pt idx="0">
                  <c:v>RCS</c:v>
                </c:pt>
              </c:strCache>
            </c:strRef>
          </c:tx>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Eff_vs_IOUT!$AO$7:$AO$157</c:f>
              <c:numCache>
                <c:formatCode>General</c:formatCode>
                <c:ptCount val="151"/>
                <c:pt idx="0">
                  <c:v>0</c:v>
                </c:pt>
                <c:pt idx="1">
                  <c:v>7.81484698862392e-5</c:v>
                </c:pt>
                <c:pt idx="2">
                  <c:v>0.000256743730202033</c:v>
                </c:pt>
                <c:pt idx="3">
                  <c:v>0.00052590085424733</c:v>
                </c:pt>
                <c:pt idx="4">
                  <c:v>0.000884210498541086</c:v>
                </c:pt>
                <c:pt idx="5">
                  <c:v>0.0013319615097833</c:v>
                </c:pt>
                <c:pt idx="6">
                  <c:v>0.00058896447467876</c:v>
                </c:pt>
                <c:pt idx="7">
                  <c:v>0.000733408919123205</c:v>
                </c:pt>
                <c:pt idx="8">
                  <c:v>0.000900075585789871</c:v>
                </c:pt>
                <c:pt idx="9">
                  <c:v>0.00108896447467876</c:v>
                </c:pt>
                <c:pt idx="10">
                  <c:v>0.00130007558578987</c:v>
                </c:pt>
                <c:pt idx="11">
                  <c:v>0.00153340891912321</c:v>
                </c:pt>
                <c:pt idx="12">
                  <c:v>0.00178896447467876</c:v>
                </c:pt>
                <c:pt idx="13">
                  <c:v>0.00206674225245654</c:v>
                </c:pt>
                <c:pt idx="14">
                  <c:v>0.00236674225245654</c:v>
                </c:pt>
                <c:pt idx="15">
                  <c:v>0.00268896447467876</c:v>
                </c:pt>
                <c:pt idx="16">
                  <c:v>0.00303340891912321</c:v>
                </c:pt>
                <c:pt idx="17">
                  <c:v>0.00340007558578987</c:v>
                </c:pt>
                <c:pt idx="18">
                  <c:v>0.00378896447467876</c:v>
                </c:pt>
                <c:pt idx="19">
                  <c:v>0.00420007558578987</c:v>
                </c:pt>
                <c:pt idx="20">
                  <c:v>0.0046334089191232</c:v>
                </c:pt>
                <c:pt idx="21">
                  <c:v>0.00508896447467876</c:v>
                </c:pt>
                <c:pt idx="22">
                  <c:v>0.00556674225245654</c:v>
                </c:pt>
                <c:pt idx="23">
                  <c:v>0.00606674225245654</c:v>
                </c:pt>
                <c:pt idx="24">
                  <c:v>0.00658896447467876</c:v>
                </c:pt>
                <c:pt idx="25">
                  <c:v>0.00713340891912321</c:v>
                </c:pt>
                <c:pt idx="26">
                  <c:v>0.00770007558578987</c:v>
                </c:pt>
                <c:pt idx="27">
                  <c:v>0.00828896447467876</c:v>
                </c:pt>
                <c:pt idx="28">
                  <c:v>0.00890007558578987</c:v>
                </c:pt>
                <c:pt idx="29">
                  <c:v>0.00953340891912321</c:v>
                </c:pt>
                <c:pt idx="30">
                  <c:v>0.0101889644746788</c:v>
                </c:pt>
                <c:pt idx="31">
                  <c:v>0.0108667422524565</c:v>
                </c:pt>
                <c:pt idx="32">
                  <c:v>0.0115667422524565</c:v>
                </c:pt>
                <c:pt idx="33">
                  <c:v>0.0122889644746788</c:v>
                </c:pt>
                <c:pt idx="34">
                  <c:v>0.0130334089191232</c:v>
                </c:pt>
                <c:pt idx="35">
                  <c:v>0.0138000755857899</c:v>
                </c:pt>
                <c:pt idx="36">
                  <c:v>0.0145889644746788</c:v>
                </c:pt>
                <c:pt idx="37">
                  <c:v>0.0154000755857899</c:v>
                </c:pt>
                <c:pt idx="38">
                  <c:v>0.0162334089191232</c:v>
                </c:pt>
                <c:pt idx="39">
                  <c:v>0.0170889644746788</c:v>
                </c:pt>
                <c:pt idx="40">
                  <c:v>0.0179667422524565</c:v>
                </c:pt>
                <c:pt idx="41">
                  <c:v>0.0188667422524565</c:v>
                </c:pt>
                <c:pt idx="42">
                  <c:v>0.0197889644746788</c:v>
                </c:pt>
                <c:pt idx="43">
                  <c:v>0.0207334089191232</c:v>
                </c:pt>
                <c:pt idx="44">
                  <c:v>0.0217000755857899</c:v>
                </c:pt>
                <c:pt idx="45">
                  <c:v>0.0226889644746788</c:v>
                </c:pt>
                <c:pt idx="46">
                  <c:v>0.0237000755857899</c:v>
                </c:pt>
                <c:pt idx="47">
                  <c:v>0.0247334089191232</c:v>
                </c:pt>
                <c:pt idx="48">
                  <c:v>0.0257889644746788</c:v>
                </c:pt>
                <c:pt idx="49">
                  <c:v>0.0268667422524565</c:v>
                </c:pt>
                <c:pt idx="50">
                  <c:v>0.0279667422524565</c:v>
                </c:pt>
                <c:pt idx="51">
                  <c:v>0.0290889644746788</c:v>
                </c:pt>
                <c:pt idx="52">
                  <c:v>0.0302334089191232</c:v>
                </c:pt>
                <c:pt idx="53">
                  <c:v>0.0314000755857899</c:v>
                </c:pt>
                <c:pt idx="54">
                  <c:v>0.0325889644746788</c:v>
                </c:pt>
                <c:pt idx="55">
                  <c:v>0.0338000755857899</c:v>
                </c:pt>
                <c:pt idx="56">
                  <c:v>0.0350334089191232</c:v>
                </c:pt>
                <c:pt idx="57">
                  <c:v>0.0362889644746788</c:v>
                </c:pt>
                <c:pt idx="58">
                  <c:v>0.0375667422524565</c:v>
                </c:pt>
                <c:pt idx="59">
                  <c:v>0.0388667422524565</c:v>
                </c:pt>
                <c:pt idx="60">
                  <c:v>0.0401889644746788</c:v>
                </c:pt>
                <c:pt idx="61">
                  <c:v>0.0415334089191232</c:v>
                </c:pt>
                <c:pt idx="62">
                  <c:v>0.0429000755857899</c:v>
                </c:pt>
                <c:pt idx="63">
                  <c:v>0.0442889644746788</c:v>
                </c:pt>
                <c:pt idx="64">
                  <c:v>0.0457000755857899</c:v>
                </c:pt>
                <c:pt idx="65">
                  <c:v>0.0471334089191232</c:v>
                </c:pt>
                <c:pt idx="66">
                  <c:v>0.0485889644746788</c:v>
                </c:pt>
                <c:pt idx="67">
                  <c:v>0.0500667422524565</c:v>
                </c:pt>
                <c:pt idx="68">
                  <c:v>0.0515667422524565</c:v>
                </c:pt>
                <c:pt idx="69">
                  <c:v>0.0530889644746788</c:v>
                </c:pt>
                <c:pt idx="70">
                  <c:v>0.0546334089191232</c:v>
                </c:pt>
                <c:pt idx="71">
                  <c:v>0.0562000755857899</c:v>
                </c:pt>
                <c:pt idx="72">
                  <c:v>0.0577889644746788</c:v>
                </c:pt>
                <c:pt idx="73">
                  <c:v>0.0594000755857899</c:v>
                </c:pt>
                <c:pt idx="74">
                  <c:v>0.0610334089191232</c:v>
                </c:pt>
                <c:pt idx="75">
                  <c:v>0.0626889644746788</c:v>
                </c:pt>
                <c:pt idx="76">
                  <c:v>0.0643667422524565</c:v>
                </c:pt>
                <c:pt idx="77">
                  <c:v>0.0660667422524566</c:v>
                </c:pt>
                <c:pt idx="78">
                  <c:v>0.0677889644746788</c:v>
                </c:pt>
                <c:pt idx="79">
                  <c:v>0.0695334089191232</c:v>
                </c:pt>
                <c:pt idx="80">
                  <c:v>0.0713000755857899</c:v>
                </c:pt>
                <c:pt idx="81">
                  <c:v>0.0730889644746788</c:v>
                </c:pt>
                <c:pt idx="82">
                  <c:v>0.0749000755857899</c:v>
                </c:pt>
                <c:pt idx="83">
                  <c:v>0.0767334089191232</c:v>
                </c:pt>
                <c:pt idx="84">
                  <c:v>0.0785889644746788</c:v>
                </c:pt>
                <c:pt idx="85">
                  <c:v>0.0804667422524565</c:v>
                </c:pt>
                <c:pt idx="86">
                  <c:v>0.0823667422524565</c:v>
                </c:pt>
                <c:pt idx="87">
                  <c:v>0.0842889644746788</c:v>
                </c:pt>
                <c:pt idx="88">
                  <c:v>0.0862334089191232</c:v>
                </c:pt>
                <c:pt idx="89">
                  <c:v>0.0882000755857899</c:v>
                </c:pt>
                <c:pt idx="90">
                  <c:v>0.0901889644746788</c:v>
                </c:pt>
                <c:pt idx="91">
                  <c:v>0.0922000755857899</c:v>
                </c:pt>
                <c:pt idx="92">
                  <c:v>0.0942334089191232</c:v>
                </c:pt>
                <c:pt idx="93">
                  <c:v>0.0962889644746788</c:v>
                </c:pt>
                <c:pt idx="94">
                  <c:v>0.0983667422524566</c:v>
                </c:pt>
                <c:pt idx="95">
                  <c:v>0.100466742252457</c:v>
                </c:pt>
                <c:pt idx="96">
                  <c:v>0.102588964474679</c:v>
                </c:pt>
                <c:pt idx="97">
                  <c:v>0.104733408919123</c:v>
                </c:pt>
                <c:pt idx="98">
                  <c:v>0.10690007558579</c:v>
                </c:pt>
                <c:pt idx="99">
                  <c:v>0.109088964474679</c:v>
                </c:pt>
                <c:pt idx="100">
                  <c:v>0.11130007558579</c:v>
                </c:pt>
                <c:pt idx="101">
                  <c:v>0.113533408919123</c:v>
                </c:pt>
                <c:pt idx="102">
                  <c:v>0.115788964474679</c:v>
                </c:pt>
                <c:pt idx="103">
                  <c:v>0.118066742252457</c:v>
                </c:pt>
                <c:pt idx="104">
                  <c:v>0.120366742252457</c:v>
                </c:pt>
                <c:pt idx="105">
                  <c:v>0.122688964474679</c:v>
                </c:pt>
                <c:pt idx="106">
                  <c:v>0.125033408919123</c:v>
                </c:pt>
                <c:pt idx="107">
                  <c:v>0.12740007558579</c:v>
                </c:pt>
                <c:pt idx="108">
                  <c:v>0.129788964474679</c:v>
                </c:pt>
                <c:pt idx="109">
                  <c:v>0.13220007558579</c:v>
                </c:pt>
                <c:pt idx="110">
                  <c:v>0.134633408919123</c:v>
                </c:pt>
                <c:pt idx="111">
                  <c:v>0.137088964474679</c:v>
                </c:pt>
                <c:pt idx="112">
                  <c:v>0.139566742252457</c:v>
                </c:pt>
                <c:pt idx="113">
                  <c:v>0.142066742252457</c:v>
                </c:pt>
                <c:pt idx="114">
                  <c:v>0.144588964474679</c:v>
                </c:pt>
                <c:pt idx="115">
                  <c:v>0.147133408919123</c:v>
                </c:pt>
                <c:pt idx="116">
                  <c:v>0.14970007558579</c:v>
                </c:pt>
                <c:pt idx="117">
                  <c:v>0.152288964474679</c:v>
                </c:pt>
                <c:pt idx="118">
                  <c:v>0.15490007558579</c:v>
                </c:pt>
                <c:pt idx="119">
                  <c:v>0.157533408919123</c:v>
                </c:pt>
                <c:pt idx="120">
                  <c:v>0.160188964474679</c:v>
                </c:pt>
                <c:pt idx="121">
                  <c:v>0.162866742252457</c:v>
                </c:pt>
                <c:pt idx="122">
                  <c:v>0.165566742252457</c:v>
                </c:pt>
                <c:pt idx="123">
                  <c:v>0.168288964474679</c:v>
                </c:pt>
                <c:pt idx="124">
                  <c:v>0.171033408919123</c:v>
                </c:pt>
                <c:pt idx="125">
                  <c:v>0.17380007558579</c:v>
                </c:pt>
                <c:pt idx="126">
                  <c:v>0.176588964474679</c:v>
                </c:pt>
                <c:pt idx="127">
                  <c:v>0.17940007558579</c:v>
                </c:pt>
                <c:pt idx="128">
                  <c:v>0.182233408919123</c:v>
                </c:pt>
                <c:pt idx="129">
                  <c:v>0.185088964474679</c:v>
                </c:pt>
                <c:pt idx="130">
                  <c:v>0.187966742252457</c:v>
                </c:pt>
                <c:pt idx="131">
                  <c:v>0.190866742252457</c:v>
                </c:pt>
                <c:pt idx="132">
                  <c:v>0.193788964474679</c:v>
                </c:pt>
                <c:pt idx="133">
                  <c:v>0.196733408919123</c:v>
                </c:pt>
                <c:pt idx="134">
                  <c:v>0.19970007558579</c:v>
                </c:pt>
                <c:pt idx="135">
                  <c:v>0.202688964474679</c:v>
                </c:pt>
                <c:pt idx="136">
                  <c:v>0.20570007558579</c:v>
                </c:pt>
                <c:pt idx="137">
                  <c:v>0.208733408919123</c:v>
                </c:pt>
                <c:pt idx="138">
                  <c:v>0.211788964474679</c:v>
                </c:pt>
                <c:pt idx="139">
                  <c:v>0.214866742252457</c:v>
                </c:pt>
                <c:pt idx="140">
                  <c:v>0.217966742252457</c:v>
                </c:pt>
                <c:pt idx="141">
                  <c:v>0.221088964474679</c:v>
                </c:pt>
                <c:pt idx="142">
                  <c:v>0.224233408919123</c:v>
                </c:pt>
                <c:pt idx="143">
                  <c:v>0.22740007558579</c:v>
                </c:pt>
                <c:pt idx="144">
                  <c:v>0.230588964474679</c:v>
                </c:pt>
                <c:pt idx="145">
                  <c:v>0.23380007558579</c:v>
                </c:pt>
                <c:pt idx="146">
                  <c:v>0.237033408919123</c:v>
                </c:pt>
                <c:pt idx="147">
                  <c:v>0.240288964474679</c:v>
                </c:pt>
                <c:pt idx="148">
                  <c:v>0.243566742252457</c:v>
                </c:pt>
                <c:pt idx="149">
                  <c:v>0.246866742252457</c:v>
                </c:pt>
                <c:pt idx="150">
                  <c:v>0.250188964474679</c:v>
                </c:pt>
              </c:numCache>
            </c:numRef>
          </c:yVal>
          <c:smooth val="1"/>
        </c:ser>
        <c:dLbls>
          <c:showLegendKey val="0"/>
          <c:showVal val="0"/>
          <c:showCatName val="0"/>
          <c:showSerName val="0"/>
          <c:showPercent val="0"/>
          <c:showBubbleSize val="0"/>
        </c:dLbls>
        <c:axId val="175652224"/>
        <c:axId val="175650688"/>
      </c:scatterChart>
      <c:valAx>
        <c:axId val="175638784"/>
        <c:scaling>
          <c:orientation val="minMax"/>
          <c:max val="6"/>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48768"/>
        <c:crosses val="autoZero"/>
        <c:crossBetween val="midCat"/>
      </c:valAx>
      <c:valAx>
        <c:axId val="175648768"/>
        <c:scaling>
          <c:orientation val="minMax"/>
          <c:max val="100"/>
          <c:min val="60"/>
        </c:scaling>
        <c:delete val="0"/>
        <c:axPos val="l"/>
        <c:majorGridlines/>
        <c:title>
          <c:layout/>
          <c:overlay val="0"/>
          <c:txPr>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p>
          </c:txPr>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38784"/>
        <c:crosses val="autoZero"/>
        <c:crossBetween val="midCat"/>
      </c:valAx>
      <c:valAx>
        <c:axId val="175652224"/>
        <c:scaling>
          <c:orientation val="minMax"/>
        </c:scaling>
        <c:delete val="1"/>
        <c:axPos val="b"/>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50688"/>
        <c:crosses val="autoZero"/>
        <c:crossBetween val="midCat"/>
      </c:valAx>
      <c:valAx>
        <c:axId val="175650688"/>
        <c:scaling>
          <c:orientation val="minMax"/>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52224"/>
        <c:crosses val="max"/>
        <c:crossBetween val="midCat"/>
      </c:valAx>
    </c:plotArea>
    <c:legend>
      <c:legendPos val="r"/>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f6eea4e-b311-416f-b1dc-ac8101a9df17}"/>
      </c:ext>
    </c:extLst>
  </c:chart>
  <c:txPr>
    <a:bodyPr/>
    <a:lstStyle/>
    <a:p>
      <a:pPr>
        <a:defRPr lang="pl-PL"/>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CCM Plant Transfer</a:t>
            </a:r>
            <a:r>
              <a:rPr lang="en-US" baseline="0"/>
              <a:t> Function</a:t>
            </a:r>
            <a:endParaRPr lang="en-US"/>
          </a:p>
        </c:rich>
      </c:tx>
      <c:layout/>
      <c:overlay val="0"/>
    </c:title>
    <c:autoTitleDeleted val="0"/>
    <c:plotArea>
      <c:layout/>
      <c:scatterChart>
        <c:scatterStyle val="smooth"/>
        <c:varyColors val="0"/>
        <c:ser>
          <c:idx val="0"/>
          <c:order val="0"/>
          <c:tx>
            <c:strRef>
              <c:f>"Gain(dB)"</c:f>
              <c:strCache>
                <c:ptCount val="1"/>
                <c:pt idx="0">
                  <c:v>Gain(dB)</c:v>
                </c:pt>
              </c:strCache>
            </c:strRef>
          </c:tx>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Loop_Modeling!$AD$19:$AD$560</c:f>
              <c:numCache>
                <c:formatCode>0.000</c:formatCode>
                <c:ptCount val="542"/>
                <c:pt idx="0">
                  <c:v>43.6544885915769</c:v>
                </c:pt>
                <c:pt idx="1">
                  <c:v>43.6272177100168</c:v>
                </c:pt>
                <c:pt idx="2">
                  <c:v>43.5988439555288</c:v>
                </c:pt>
                <c:pt idx="3">
                  <c:v>43.5693303484279</c:v>
                </c:pt>
                <c:pt idx="4">
                  <c:v>43.5386392874302</c:v>
                </c:pt>
                <c:pt idx="5">
                  <c:v>43.5067325903168</c:v>
                </c:pt>
                <c:pt idx="6">
                  <c:v>43.4735715392209</c:v>
                </c:pt>
                <c:pt idx="7">
                  <c:v>43.4391169306612</c:v>
                </c:pt>
                <c:pt idx="8">
                  <c:v>43.4033291304201</c:v>
                </c:pt>
                <c:pt idx="9">
                  <c:v>43.3661681333388</c:v>
                </c:pt>
                <c:pt idx="10">
                  <c:v>43.3275936280691</c:v>
                </c:pt>
                <c:pt idx="11">
                  <c:v>43.2875650667913</c:v>
                </c:pt>
                <c:pt idx="12">
                  <c:v>43.2460417398652</c:v>
                </c:pt>
                <c:pt idx="13">
                  <c:v>43.2029828553449</c:v>
                </c:pt>
                <c:pt idx="14">
                  <c:v>43.1583476232434</c:v>
                </c:pt>
                <c:pt idx="15">
                  <c:v>43.1120953443841</c:v>
                </c:pt>
                <c:pt idx="16">
                  <c:v>43.0641855036327</c:v>
                </c:pt>
                <c:pt idx="17">
                  <c:v>43.0145778672464</c:v>
                </c:pt>
                <c:pt idx="18">
                  <c:v>42.9632325840308</c:v>
                </c:pt>
                <c:pt idx="19">
                  <c:v>42.9101102899376</c:v>
                </c:pt>
                <c:pt idx="20">
                  <c:v>42.8551722156867</c:v>
                </c:pt>
                <c:pt idx="21">
                  <c:v>42.7983802969401</c:v>
                </c:pt>
                <c:pt idx="22">
                  <c:v>42.7396972865084</c:v>
                </c:pt>
                <c:pt idx="23">
                  <c:v>42.6790868680178</c:v>
                </c:pt>
                <c:pt idx="24">
                  <c:v>42.6165137704216</c:v>
                </c:pt>
                <c:pt idx="25">
                  <c:v>42.5519438826995</c:v>
                </c:pt>
                <c:pt idx="26">
                  <c:v>42.485344368049</c:v>
                </c:pt>
                <c:pt idx="27">
                  <c:v>42.4166837768438</c:v>
                </c:pt>
                <c:pt idx="28">
                  <c:v>42.3459321576095</c:v>
                </c:pt>
                <c:pt idx="29">
                  <c:v>42.273061165251</c:v>
                </c:pt>
                <c:pt idx="30">
                  <c:v>42.1980441657537</c:v>
                </c:pt>
                <c:pt idx="31">
                  <c:v>42.1208563365871</c:v>
                </c:pt>
                <c:pt idx="32">
                  <c:v>42.0414747620412</c:v>
                </c:pt>
                <c:pt idx="33">
                  <c:v>41.9598785227513</c:v>
                </c:pt>
                <c:pt idx="34">
                  <c:v>41.8760487786893</c:v>
                </c:pt>
                <c:pt idx="35">
                  <c:v>41.7899688449434</c:v>
                </c:pt>
                <c:pt idx="36">
                  <c:v>41.7016242596487</c:v>
                </c:pt>
                <c:pt idx="37">
                  <c:v>41.6110028434937</c:v>
                </c:pt>
                <c:pt idx="38">
                  <c:v>41.5180947502861</c:v>
                </c:pt>
                <c:pt idx="39">
                  <c:v>41.422892508138</c:v>
                </c:pt>
                <c:pt idx="40">
                  <c:v>41.3253910509064</c:v>
                </c:pt>
                <c:pt idx="41">
                  <c:v>41.225587739608</c:v>
                </c:pt>
                <c:pt idx="42">
                  <c:v>41.1234823736193</c:v>
                </c:pt>
                <c:pt idx="43">
                  <c:v>41.0190771915597</c:v>
                </c:pt>
                <c:pt idx="44">
                  <c:v>40.9123768618498</c:v>
                </c:pt>
                <c:pt idx="45">
                  <c:v>40.803388463031</c:v>
                </c:pt>
                <c:pt idx="46">
                  <c:v>40.6921214540217</c:v>
                </c:pt>
                <c:pt idx="47">
                  <c:v>40.5785876345758</c:v>
                </c:pt>
                <c:pt idx="48">
                  <c:v>40.4628010962929</c:v>
                </c:pt>
                <c:pt idx="49">
                  <c:v>40.3447781646097</c:v>
                </c:pt>
                <c:pt idx="50">
                  <c:v>40.2245373322743</c:v>
                </c:pt>
                <c:pt idx="51">
                  <c:v>40.1020991848724</c:v>
                </c:pt>
                <c:pt idx="52">
                  <c:v>39.9774863190294</c:v>
                </c:pt>
                <c:pt idx="53">
                  <c:v>39.8507232539637</c:v>
                </c:pt>
                <c:pt idx="54">
                  <c:v>39.7218363371032</c:v>
                </c:pt>
                <c:pt idx="55">
                  <c:v>39.5908536445099</c:v>
                </c:pt>
                <c:pt idx="56">
                  <c:v>39.4578048768755</c:v>
                </c:pt>
                <c:pt idx="57">
                  <c:v>39.3227212518609</c:v>
                </c:pt>
                <c:pt idx="58">
                  <c:v>39.1856353935588</c:v>
                </c:pt>
                <c:pt idx="59">
                  <c:v>39.0465812198442</c:v>
                </c:pt>
                <c:pt idx="60">
                  <c:v>38.9055938283694</c:v>
                </c:pt>
                <c:pt idx="61">
                  <c:v>38.7627093819307</c:v>
                </c:pt>
                <c:pt idx="62">
                  <c:v>38.6179649939095</c:v>
                </c:pt>
                <c:pt idx="63">
                  <c:v>38.4713986144503</c:v>
                </c:pt>
                <c:pt idx="64">
                  <c:v>38.3230489180005</c:v>
                </c:pt>
                <c:pt idx="65">
                  <c:v>38.1729551927899</c:v>
                </c:pt>
                <c:pt idx="66">
                  <c:v>38.0211572327796</c:v>
                </c:pt>
                <c:pt idx="67">
                  <c:v>37.8676952325601</c:v>
                </c:pt>
                <c:pt idx="68">
                  <c:v>37.7126096856263</c:v>
                </c:pt>
                <c:pt idx="69">
                  <c:v>37.5559412864016</c:v>
                </c:pt>
                <c:pt idx="70">
                  <c:v>37.3977308363344</c:v>
                </c:pt>
                <c:pt idx="71">
                  <c:v>37.2380191543339</c:v>
                </c:pt>
                <c:pt idx="72">
                  <c:v>37.0768469917651</c:v>
                </c:pt>
                <c:pt idx="73">
                  <c:v>36.9142549521696</c:v>
                </c:pt>
                <c:pt idx="74">
                  <c:v>36.7502834158371</c:v>
                </c:pt>
                <c:pt idx="75">
                  <c:v>36.5849724693029</c:v>
                </c:pt>
                <c:pt idx="76">
                  <c:v>36.4183618398111</c:v>
                </c:pt>
                <c:pt idx="77">
                  <c:v>36.2504908347404</c:v>
                </c:pt>
                <c:pt idx="78">
                  <c:v>36.0813982859584</c:v>
                </c:pt>
                <c:pt idx="79">
                  <c:v>35.9111224990375</c:v>
                </c:pt>
                <c:pt idx="80">
                  <c:v>35.7397012072379</c:v>
                </c:pt>
                <c:pt idx="81">
                  <c:v>35.5671715301388</c:v>
                </c:pt>
                <c:pt idx="82">
                  <c:v>35.393569936779</c:v>
                </c:pt>
                <c:pt idx="83">
                  <c:v>35.2189322131484</c:v>
                </c:pt>
                <c:pt idx="84">
                  <c:v>35.0432934338588</c:v>
                </c:pt>
                <c:pt idx="85">
                  <c:v>34.8666879378102</c:v>
                </c:pt>
                <c:pt idx="86">
                  <c:v>34.6891493076583</c:v>
                </c:pt>
                <c:pt idx="87">
                  <c:v>34.5107103528853</c:v>
                </c:pt>
                <c:pt idx="88">
                  <c:v>34.331403096268</c:v>
                </c:pt>
                <c:pt idx="89">
                  <c:v>34.1512587635386</c:v>
                </c:pt>
                <c:pt idx="90">
                  <c:v>33.9703077760297</c:v>
                </c:pt>
                <c:pt idx="91">
                  <c:v>33.7885797461009</c:v>
                </c:pt>
                <c:pt idx="92">
                  <c:v>33.6061034751409</c:v>
                </c:pt>
                <c:pt idx="93">
                  <c:v>33.42290695395</c:v>
                </c:pt>
                <c:pt idx="94">
                  <c:v>33.2390173653069</c:v>
                </c:pt>
                <c:pt idx="95">
                  <c:v>33.054461088534</c:v>
                </c:pt>
                <c:pt idx="96">
                  <c:v>32.8692637058801</c:v>
                </c:pt>
                <c:pt idx="97">
                  <c:v>32.6834500105461</c:v>
                </c:pt>
                <c:pt idx="98">
                  <c:v>32.4970440161894</c:v>
                </c:pt>
                <c:pt idx="99">
                  <c:v>32.3100689677495</c:v>
                </c:pt>
                <c:pt idx="100">
                  <c:v>32.1225473534437</c:v>
                </c:pt>
                <c:pt idx="101">
                  <c:v>31.9345009177948</c:v>
                </c:pt>
                <c:pt idx="102">
                  <c:v>31.7459506755564</c:v>
                </c:pt>
                <c:pt idx="103">
                  <c:v>31.5569169264128</c:v>
                </c:pt>
                <c:pt idx="104">
                  <c:v>31.3674192703379</c:v>
                </c:pt>
                <c:pt idx="105">
                  <c:v>31.177476623505</c:v>
                </c:pt>
                <c:pt idx="106">
                  <c:v>30.9871072346491</c:v>
                </c:pt>
                <c:pt idx="107">
                  <c:v>30.7963287017886</c:v>
                </c:pt>
                <c:pt idx="108">
                  <c:v>30.6051579892231</c:v>
                </c:pt>
                <c:pt idx="109">
                  <c:v>30.4136114447293</c:v>
                </c:pt>
                <c:pt idx="110">
                  <c:v>30.2217048168841</c:v>
                </c:pt>
                <c:pt idx="111">
                  <c:v>30.0294532724518</c:v>
                </c:pt>
                <c:pt idx="112">
                  <c:v>29.8368714137774</c:v>
                </c:pt>
                <c:pt idx="113">
                  <c:v>29.6439732961322</c:v>
                </c:pt>
                <c:pt idx="114">
                  <c:v>29.4507724449674</c:v>
                </c:pt>
                <c:pt idx="115">
                  <c:v>29.2572818730314</c:v>
                </c:pt>
                <c:pt idx="116">
                  <c:v>29.0635140973177</c:v>
                </c:pt>
                <c:pt idx="117">
                  <c:v>28.8694811558057</c:v>
                </c:pt>
                <c:pt idx="118">
                  <c:v>28.6751946239717</c:v>
                </c:pt>
                <c:pt idx="119">
                  <c:v>28.4806656310417</c:v>
                </c:pt>
                <c:pt idx="120">
                  <c:v>28.2859048759673</c:v>
                </c:pt>
                <c:pt idx="121">
                  <c:v>28.0909226431058</c:v>
                </c:pt>
                <c:pt idx="122">
                  <c:v>27.8957288175917</c:v>
                </c:pt>
                <c:pt idx="123">
                  <c:v>27.7003329003853</c:v>
                </c:pt>
                <c:pt idx="124">
                  <c:v>27.5047440229919</c:v>
                </c:pt>
                <c:pt idx="125">
                  <c:v>27.3089709618418</c:v>
                </c:pt>
                <c:pt idx="126">
                  <c:v>27.1130221523296</c:v>
                </c:pt>
                <c:pt idx="127">
                  <c:v>26.9169057025068</c:v>
                </c:pt>
                <c:pt idx="128">
                  <c:v>26.7206294064276</c:v>
                </c:pt>
                <c:pt idx="129">
                  <c:v>26.5242007571492</c:v>
                </c:pt>
                <c:pt idx="130">
                  <c:v>26.3276269593873</c:v>
                </c:pt>
                <c:pt idx="131">
                  <c:v>26.1309149418294</c:v>
                </c:pt>
                <c:pt idx="132">
                  <c:v>25.9340713691111</c:v>
                </c:pt>
                <c:pt idx="133">
                  <c:v>25.7371026534601</c:v>
                </c:pt>
                <c:pt idx="134">
                  <c:v>25.5400149660138</c:v>
                </c:pt>
                <c:pt idx="135">
                  <c:v>25.342814247817</c:v>
                </c:pt>
                <c:pt idx="136">
                  <c:v>25.1455062205074</c:v>
                </c:pt>
                <c:pt idx="137">
                  <c:v>24.9480963966978</c:v>
                </c:pt>
                <c:pt idx="138">
                  <c:v>24.7505900900617</c:v>
                </c:pt>
                <c:pt idx="139">
                  <c:v>24.5529924251326</c:v>
                </c:pt>
                <c:pt idx="140">
                  <c:v>24.355308346827</c:v>
                </c:pt>
                <c:pt idx="141">
                  <c:v>24.1575426296988</c:v>
                </c:pt>
                <c:pt idx="142">
                  <c:v>23.9596998869369</c:v>
                </c:pt>
                <c:pt idx="143">
                  <c:v>23.7617845791161</c:v>
                </c:pt>
                <c:pt idx="144">
                  <c:v>23.5638010227098</c:v>
                </c:pt>
                <c:pt idx="145">
                  <c:v>23.3657533983783</c:v>
                </c:pt>
                <c:pt idx="146">
                  <c:v>23.16764575904</c:v>
                </c:pt>
                <c:pt idx="147">
                  <c:v>22.969482037739</c:v>
                </c:pt>
                <c:pt idx="148">
                  <c:v>22.7712660553186</c:v>
                </c:pt>
                <c:pt idx="149">
                  <c:v>22.5730015279116</c:v>
                </c:pt>
                <c:pt idx="150">
                  <c:v>22.3746920742588</c:v>
                </c:pt>
                <c:pt idx="151">
                  <c:v>22.1763412228672</c:v>
                </c:pt>
                <c:pt idx="152">
                  <c:v>21.9779524190172</c:v>
                </c:pt>
                <c:pt idx="153">
                  <c:v>21.7795290316315</c:v>
                </c:pt>
                <c:pt idx="154">
                  <c:v>21.5810743600164</c:v>
                </c:pt>
                <c:pt idx="155">
                  <c:v>21.3825916404853</c:v>
                </c:pt>
                <c:pt idx="156">
                  <c:v>21.1840840528769</c:v>
                </c:pt>
                <c:pt idx="157">
                  <c:v>20.9855547269788</c:v>
                </c:pt>
                <c:pt idx="158">
                  <c:v>20.7870067488659</c:v>
                </c:pt>
                <c:pt idx="159">
                  <c:v>20.5884431671677</c:v>
                </c:pt>
                <c:pt idx="160">
                  <c:v>20.3898669992723</c:v>
                </c:pt>
                <c:pt idx="161">
                  <c:v>20.1912812374799</c:v>
                </c:pt>
                <c:pt idx="162">
                  <c:v>19.9926888551162</c:v>
                </c:pt>
                <c:pt idx="163">
                  <c:v>19.7940928126175</c:v>
                </c:pt>
                <c:pt idx="164">
                  <c:v>19.5954960635975</c:v>
                </c:pt>
                <c:pt idx="165">
                  <c:v>19.3969015609073</c:v>
                </c:pt>
                <c:pt idx="166">
                  <c:v>19.1983122627007</c:v>
                </c:pt>
                <c:pt idx="167">
                  <c:v>18.9997311385137</c:v>
                </c:pt>
                <c:pt idx="168">
                  <c:v>18.8011611753729</c:v>
                </c:pt>
                <c:pt idx="169">
                  <c:v>18.6026053839402</c:v>
                </c:pt>
                <c:pt idx="170">
                  <c:v>18.4040668047088</c:v>
                </c:pt>
                <c:pt idx="171">
                  <c:v>18.2055485142603</c:v>
                </c:pt>
                <c:pt idx="172">
                  <c:v>18.0070536315933</c:v>
                </c:pt>
                <c:pt idx="173">
                  <c:v>17.8085853245394</c:v>
                </c:pt>
                <c:pt idx="174">
                  <c:v>17.6101468162736</c:v>
                </c:pt>
                <c:pt idx="175">
                  <c:v>17.4117413919346</c:v>
                </c:pt>
                <c:pt idx="176">
                  <c:v>17.2133724053662</c:v>
                </c:pt>
                <c:pt idx="177">
                  <c:v>17.0150432859914</c:v>
                </c:pt>
                <c:pt idx="178">
                  <c:v>16.8167575458334</c:v>
                </c:pt>
                <c:pt idx="179">
                  <c:v>16.6185187866953</c:v>
                </c:pt>
                <c:pt idx="180">
                  <c:v>16.4203307075107</c:v>
                </c:pt>
                <c:pt idx="181">
                  <c:v>16.2221971118807</c:v>
                </c:pt>
                <c:pt idx="182">
                  <c:v>16.0241219158079</c:v>
                </c:pt>
                <c:pt idx="183">
                  <c:v>15.8261091556442</c:v>
                </c:pt>
                <c:pt idx="184">
                  <c:v>15.6281629962629</c:v>
                </c:pt>
                <c:pt idx="185">
                  <c:v>15.4302877394722</c:v>
                </c:pt>
                <c:pt idx="186">
                  <c:v>15.2324878326819</c:v>
                </c:pt>
                <c:pt idx="187">
                  <c:v>15.0347678778412</c:v>
                </c:pt>
                <c:pt idx="188">
                  <c:v>14.8371326406583</c:v>
                </c:pt>
                <c:pt idx="189">
                  <c:v>14.6395870601209</c:v>
                </c:pt>
                <c:pt idx="190">
                  <c:v>14.44213625833</c:v>
                </c:pt>
                <c:pt idx="191">
                  <c:v>14.2447855506651</c:v>
                </c:pt>
                <c:pt idx="192">
                  <c:v>14.0475404562939</c:v>
                </c:pt>
                <c:pt idx="193">
                  <c:v>13.8504067090462</c:v>
                </c:pt>
                <c:pt idx="194">
                  <c:v>13.6533902686638</c:v>
                </c:pt>
                <c:pt idx="195">
                  <c:v>13.4564973324475</c:v>
                </c:pt>
                <c:pt idx="196">
                  <c:v>13.2597343473145</c:v>
                </c:pt>
                <c:pt idx="197">
                  <c:v>13.0631080222846</c:v>
                </c:pt>
                <c:pt idx="198">
                  <c:v>12.8666253414121</c:v>
                </c:pt>
                <c:pt idx="199">
                  <c:v>12.6702935771798</c:v>
                </c:pt>
                <c:pt idx="200">
                  <c:v>12.4741203043729</c:v>
                </c:pt>
                <c:pt idx="201">
                  <c:v>12.278113414449</c:v>
                </c:pt>
                <c:pt idx="202">
                  <c:v>12.0822811304229</c:v>
                </c:pt>
                <c:pt idx="203">
                  <c:v>11.8866320222808</c:v>
                </c:pt>
                <c:pt idx="204">
                  <c:v>11.6911750229431</c:v>
                </c:pt>
                <c:pt idx="205">
                  <c:v>11.4959194447896</c:v>
                </c:pt>
                <c:pt idx="206">
                  <c:v>11.3008749967671</c:v>
                </c:pt>
                <c:pt idx="207">
                  <c:v>11.1060518020902</c:v>
                </c:pt>
                <c:pt idx="208">
                  <c:v>10.9114604165547</c:v>
                </c:pt>
                <c:pt idx="209">
                  <c:v>10.7171118474762</c:v>
                </c:pt>
                <c:pt idx="210">
                  <c:v>10.5230175732673</c:v>
                </c:pt>
                <c:pt idx="211">
                  <c:v>10.3291895636669</c:v>
                </c:pt>
                <c:pt idx="212">
                  <c:v>10.1356403006339</c:v>
                </c:pt>
                <c:pt idx="213">
                  <c:v>9.94238279991331</c:v>
                </c:pt>
                <c:pt idx="214">
                  <c:v>9.74943063328647</c:v>
                </c:pt>
                <c:pt idx="215">
                  <c:v>9.55679795151032</c:v>
                </c:pt>
                <c:pt idx="216">
                  <c:v>9.36449950795308</c:v>
                </c:pt>
                <c:pt idx="217">
                  <c:v>9.17255068292695</c:v>
                </c:pt>
                <c:pt idx="218">
                  <c:v>8.98096750872112</c:v>
                </c:pt>
                <c:pt idx="219">
                  <c:v>8.78976669533137</c:v>
                </c:pt>
                <c:pt idx="220">
                  <c:v>8.59896565688154</c:v>
                </c:pt>
                <c:pt idx="221">
                  <c:v>8.40858253872848</c:v>
                </c:pt>
                <c:pt idx="222">
                  <c:v>8.21863624523901</c:v>
                </c:pt>
                <c:pt idx="223">
                  <c:v>8.02914646822057</c:v>
                </c:pt>
                <c:pt idx="224">
                  <c:v>7.8401337159873</c:v>
                </c:pt>
                <c:pt idx="225">
                  <c:v>7.65161934303284</c:v>
                </c:pt>
                <c:pt idx="226">
                  <c:v>7.46362558028078</c:v>
                </c:pt>
                <c:pt idx="227">
                  <c:v>7.27617556587428</c:v>
                </c:pt>
                <c:pt idx="228">
                  <c:v>7.08929337646081</c:v>
                </c:pt>
                <c:pt idx="229">
                  <c:v>6.90300405892153</c:v>
                </c:pt>
                <c:pt idx="230">
                  <c:v>6.71733366248704</c:v>
                </c:pt>
                <c:pt idx="231">
                  <c:v>6.5323092711718</c:v>
                </c:pt>
                <c:pt idx="232">
                  <c:v>6.34795903645287</c:v>
                </c:pt>
                <c:pt idx="233">
                  <c:v>6.16431221010601</c:v>
                </c:pt>
                <c:pt idx="234">
                  <c:v>5.98139917710619</c:v>
                </c:pt>
                <c:pt idx="235">
                  <c:v>5.79925148848399</c:v>
                </c:pt>
                <c:pt idx="236">
                  <c:v>5.61790189402221</c:v>
                </c:pt>
                <c:pt idx="237">
                  <c:v>5.43738437466169</c:v>
                </c:pt>
                <c:pt idx="238">
                  <c:v>5.25773417447391</c:v>
                </c:pt>
                <c:pt idx="239">
                  <c:v>5.07898783204421</c:v>
                </c:pt>
                <c:pt idx="240">
                  <c:v>4.90118321109557</c:v>
                </c:pt>
                <c:pt idx="241">
                  <c:v>4.72435953016644</c:v>
                </c:pt>
                <c:pt idx="242">
                  <c:v>4.54855739114415</c:v>
                </c:pt>
                <c:pt idx="243">
                  <c:v>4.37381880643538</c:v>
                </c:pt>
                <c:pt idx="244">
                  <c:v>4.20018722454229</c:v>
                </c:pt>
                <c:pt idx="245">
                  <c:v>4.02770755379466</c:v>
                </c:pt>
                <c:pt idx="246">
                  <c:v>3.85642618397158</c:v>
                </c:pt>
                <c:pt idx="247">
                  <c:v>3.68639100552934</c:v>
                </c:pt>
                <c:pt idx="248">
                  <c:v>3.5176514261368</c:v>
                </c:pt>
                <c:pt idx="249">
                  <c:v>3.35025838419874</c:v>
                </c:pt>
                <c:pt idx="250">
                  <c:v>3.18426435903636</c:v>
                </c:pt>
                <c:pt idx="251">
                  <c:v>3.01972337737507</c:v>
                </c:pt>
                <c:pt idx="252">
                  <c:v>2.85669101577485</c:v>
                </c:pt>
                <c:pt idx="253">
                  <c:v>2.69522439862749</c:v>
                </c:pt>
                <c:pt idx="254">
                  <c:v>2.53538219132843</c:v>
                </c:pt>
                <c:pt idx="255">
                  <c:v>2.37722458822551</c:v>
                </c:pt>
                <c:pt idx="256">
                  <c:v>2.22081329493216</c:v>
                </c:pt>
                <c:pt idx="257">
                  <c:v>2.06621150459382</c:v>
                </c:pt>
                <c:pt idx="258">
                  <c:v>1.91348386768629</c:v>
                </c:pt>
                <c:pt idx="259">
                  <c:v>1.76269645492943</c:v>
                </c:pt>
                <c:pt idx="260">
                  <c:v>1.61391671290098</c:v>
                </c:pt>
                <c:pt idx="261">
                  <c:v>1.46721341194527</c:v>
                </c:pt>
                <c:pt idx="262">
                  <c:v>1.32265658597993</c:v>
                </c:pt>
                <c:pt idx="263">
                  <c:v>1.18031746382649</c:v>
                </c:pt>
                <c:pt idx="264">
                  <c:v>1.04026839170856</c:v>
                </c:pt>
                <c:pt idx="265">
                  <c:v>0.902582746591379</c:v>
                </c:pt>
                <c:pt idx="266">
                  <c:v>0.7673348400724</c:v>
                </c:pt>
                <c:pt idx="267">
                  <c:v>0.634599812570247</c:v>
                </c:pt>
                <c:pt idx="268">
                  <c:v>0.504453517609882</c:v>
                </c:pt>
                <c:pt idx="269">
                  <c:v>0.376972396052847</c:v>
                </c:pt>
                <c:pt idx="270">
                  <c:v>0.252233340184729</c:v>
                </c:pt>
                <c:pt idx="271">
                  <c:v>0.130313547639515</c:v>
                </c:pt>
                <c:pt idx="272">
                  <c:v>0.011290365212152</c:v>
                </c:pt>
                <c:pt idx="273">
                  <c:v>-0.104758877303677</c:v>
                </c:pt>
                <c:pt idx="274">
                  <c:v>-0.217757043034555</c:v>
                </c:pt>
                <c:pt idx="275">
                  <c:v>-0.327627373387201</c:v>
                </c:pt>
                <c:pt idx="276">
                  <c:v>-0.434293682441012</c:v>
                </c:pt>
                <c:pt idx="277">
                  <c:v>-0.537680559861424</c:v>
                </c:pt>
                <c:pt idx="278">
                  <c:v>-0.637713581718881</c:v>
                </c:pt>
                <c:pt idx="279">
                  <c:v>-0.734319528494317</c:v>
                </c:pt>
                <c:pt idx="280">
                  <c:v>-0.827426609444567</c:v>
                </c:pt>
                <c:pt idx="281">
                  <c:v>-0.916964692397222</c:v>
                </c:pt>
                <c:pt idx="282">
                  <c:v>-1.00286553794288</c:v>
                </c:pt>
                <c:pt idx="283">
                  <c:v>-1.085063036894</c:v>
                </c:pt>
                <c:pt idx="284">
                  <c:v>-1.16349344979032</c:v>
                </c:pt>
                <c:pt idx="285">
                  <c:v>-1.23809564714453</c:v>
                </c:pt>
                <c:pt idx="286">
                  <c:v>-1.30881134905004</c:v>
                </c:pt>
                <c:pt idx="287">
                  <c:v>-1.37558536271016</c:v>
                </c:pt>
                <c:pt idx="288">
                  <c:v>-1.43836581639769</c:v>
                </c:pt>
                <c:pt idx="289">
                  <c:v>-1.49710438831997</c:v>
                </c:pt>
                <c:pt idx="290">
                  <c:v>-1.55175652884612</c:v>
                </c:pt>
                <c:pt idx="291">
                  <c:v>-1.60228167455054</c:v>
                </c:pt>
                <c:pt idx="292">
                  <c:v>-1.64864345254473</c:v>
                </c:pt>
                <c:pt idx="293">
                  <c:v>-1.69080987360205</c:v>
                </c:pt>
                <c:pt idx="294">
                  <c:v>-1.72875351263711</c:v>
                </c:pt>
                <c:pt idx="295">
                  <c:v>-1.76245167517103</c:v>
                </c:pt>
                <c:pt idx="296">
                  <c:v>-1.79188654850617</c:v>
                </c:pt>
                <c:pt idx="297">
                  <c:v>-1.81704533644164</c:v>
                </c:pt>
                <c:pt idx="298">
                  <c:v>-1.83792037648618</c:v>
                </c:pt>
                <c:pt idx="299">
                  <c:v>-1.85450923866188</c:v>
                </c:pt>
                <c:pt idx="300">
                  <c:v>-1.86681480514719</c:v>
                </c:pt>
                <c:pt idx="301">
                  <c:v>-1.87484533016705</c:v>
                </c:pt>
                <c:pt idx="302">
                  <c:v>-1.87861447971079</c:v>
                </c:pt>
                <c:pt idx="303">
                  <c:v>-1.87814135083351</c:v>
                </c:pt>
                <c:pt idx="304">
                  <c:v>-1.87345047047553</c:v>
                </c:pt>
                <c:pt idx="305">
                  <c:v>-1.86457177391477</c:v>
                </c:pt>
                <c:pt idx="306">
                  <c:v>-1.85154056314041</c:v>
                </c:pt>
                <c:pt idx="307">
                  <c:v>-1.83439744560982</c:v>
                </c:pt>
                <c:pt idx="308">
                  <c:v>-1.81318825401076</c:v>
                </c:pt>
                <c:pt idx="309">
                  <c:v>-1.78796394780244</c:v>
                </c:pt>
                <c:pt idx="310">
                  <c:v>-1.75878049744899</c:v>
                </c:pt>
                <c:pt idx="311">
                  <c:v>-1.72569875238138</c:v>
                </c:pt>
                <c:pt idx="312">
                  <c:v>-1.68878429383142</c:v>
                </c:pt>
                <c:pt idx="313">
                  <c:v>-1.64810727377109</c:v>
                </c:pt>
                <c:pt idx="314">
                  <c:v>-1.60374224126166</c:v>
                </c:pt>
                <c:pt idx="315">
                  <c:v>-1.55576795756878</c:v>
                </c:pt>
                <c:pt idx="316">
                  <c:v>-1.5042672014319</c:v>
                </c:pt>
                <c:pt idx="317">
                  <c:v>-1.44932656589228</c:v>
                </c:pt>
                <c:pt idx="318">
                  <c:v>-1.39103624807612</c:v>
                </c:pt>
                <c:pt idx="319">
                  <c:v>-1.32948983331066</c:v>
                </c:pt>
                <c:pt idx="320">
                  <c:v>-1.26478407491097</c:v>
                </c:pt>
                <c:pt idx="321">
                  <c:v>-1.19701867092283</c:v>
                </c:pt>
                <c:pt idx="322">
                  <c:v>-1.1262960390409</c:v>
                </c:pt>
                <c:pt idx="323">
                  <c:v>-1.05272109084377</c:v>
                </c:pt>
                <c:pt idx="324">
                  <c:v>-0.976401006400284</c:v>
                </c:pt>
                <c:pt idx="325">
                  <c:v>-0.897445010207546</c:v>
                </c:pt>
                <c:pt idx="326">
                  <c:v>-0.815964149319255</c:v>
                </c:pt>
                <c:pt idx="327">
                  <c:v>-0.73207107442072</c:v>
                </c:pt>
                <c:pt idx="328">
                  <c:v>-0.645879824499305</c:v>
                </c:pt>
                <c:pt idx="329">
                  <c:v>-0.557505615655345</c:v>
                </c:pt>
                <c:pt idx="330">
                  <c:v>-0.467064634492906</c:v>
                </c:pt>
                <c:pt idx="331">
                  <c:v>-0.374673836429308</c:v>
                </c:pt>
                <c:pt idx="332">
                  <c:v>-0.280450749168022</c:v>
                </c:pt>
                <c:pt idx="333">
                  <c:v>-0.184513281486305</c:v>
                </c:pt>
                <c:pt idx="334">
                  <c:v>-0.0869795374106358</c:v>
                </c:pt>
                <c:pt idx="335">
                  <c:v>0.0120323642263499</c:v>
                </c:pt>
                <c:pt idx="336">
                  <c:v>0.11240446491581</c:v>
                </c:pt>
                <c:pt idx="337">
                  <c:v>0.21401913641681</c:v>
                </c:pt>
                <c:pt idx="338">
                  <c:v>0.316759245687188</c:v>
                </c:pt>
                <c:pt idx="339">
                  <c:v>0.420508315009964</c:v>
                </c:pt>
                <c:pt idx="340">
                  <c:v>0.525150677552741</c:v>
                </c:pt>
                <c:pt idx="341">
                  <c:v>0.630571628608347</c:v>
                </c:pt>
                <c:pt idx="342">
                  <c:v>0.736657572778333</c:v>
                </c:pt>
                <c:pt idx="343">
                  <c:v>0.843296167349322</c:v>
                </c:pt>
                <c:pt idx="344">
                  <c:v>0.950376462106049</c:v>
                </c:pt>
                <c:pt idx="345">
                  <c:v>1.05778903579954</c:v>
                </c:pt>
                <c:pt idx="346">
                  <c:v>1.16542612945963</c:v>
                </c:pt>
                <c:pt idx="347">
                  <c:v>1.27318177670719</c:v>
                </c:pt>
                <c:pt idx="348">
                  <c:v>1.38095193117646</c:v>
                </c:pt>
                <c:pt idx="349">
                  <c:v>1.48863459110898</c:v>
                </c:pt>
                <c:pt idx="350">
                  <c:v>1.59612992113183</c:v>
                </c:pt>
                <c:pt idx="351">
                  <c:v>1.70334037117579</c:v>
                </c:pt>
                <c:pt idx="352">
                  <c:v>1.81017079243041</c:v>
                </c:pt>
                <c:pt idx="353">
                  <c:v>1.91652855018031</c:v>
                </c:pt>
                <c:pt idx="354">
                  <c:v>2.02232363330548</c:v>
                </c:pt>
                <c:pt idx="355">
                  <c:v>2.12746876017545</c:v>
                </c:pt>
                <c:pt idx="356">
                  <c:v>2.23187948061685</c:v>
                </c:pt>
                <c:pt idx="357">
                  <c:v>2.33547427358322</c:v>
                </c:pt>
                <c:pt idx="358">
                  <c:v>2.43817464011729</c:v>
                </c:pt>
                <c:pt idx="359">
                  <c:v>2.53990519115839</c:v>
                </c:pt>
                <c:pt idx="360">
                  <c:v>2.64059372972044</c:v>
                </c:pt>
                <c:pt idx="361">
                  <c:v>2.7401713269476</c:v>
                </c:pt>
                <c:pt idx="362">
                  <c:v>2.83857239154115</c:v>
                </c:pt>
                <c:pt idx="363">
                  <c:v>2.93573473205308</c:v>
                </c:pt>
                <c:pt idx="364">
                  <c:v>3.03159961154821</c:v>
                </c:pt>
                <c:pt idx="365">
                  <c:v>3.12611179415599</c:v>
                </c:pt>
                <c:pt idx="366">
                  <c:v>3.21921958306284</c:v>
                </c:pt>
                <c:pt idx="367">
                  <c:v>3.31087484952966</c:v>
                </c:pt>
                <c:pt idx="368">
                  <c:v>3.40103305257169</c:v>
                </c:pt>
                <c:pt idx="369">
                  <c:v>3.48965324898789</c:v>
                </c:pt>
                <c:pt idx="370">
                  <c:v>3.57669809349379</c:v>
                </c:pt>
                <c:pt idx="371">
                  <c:v>3.66213382877923</c:v>
                </c:pt>
                <c:pt idx="372">
                  <c:v>3.74593026538639</c:v>
                </c:pt>
                <c:pt idx="373">
                  <c:v>3.82806075138445</c:v>
                </c:pt>
                <c:pt idx="374">
                  <c:v>3.90850213189682</c:v>
                </c:pt>
                <c:pt idx="375">
                  <c:v>3.98723469861968</c:v>
                </c:pt>
                <c:pt idx="376">
                  <c:v>4.0642421295545</c:v>
                </c:pt>
                <c:pt idx="377">
                  <c:v>4.13951141925499</c:v>
                </c:pt>
                <c:pt idx="378">
                  <c:v>4.21303279997068</c:v>
                </c:pt>
                <c:pt idx="379">
                  <c:v>4.28479965414016</c:v>
                </c:pt>
                <c:pt idx="380">
                  <c:v>4.35480841875459</c:v>
                </c:pt>
                <c:pt idx="381">
                  <c:v>4.42305848217741</c:v>
                </c:pt>
                <c:pt idx="382">
                  <c:v>4.48955207405526</c:v>
                </c:pt>
                <c:pt idx="383">
                  <c:v>4.55429414900548</c:v>
                </c:pt>
                <c:pt idx="384">
                  <c:v>4.61729226480043</c:v>
                </c:pt>
                <c:pt idx="385">
                  <c:v>4.67855645579765</c:v>
                </c:pt>
                <c:pt idx="386">
                  <c:v>4.73809910238525</c:v>
                </c:pt>
                <c:pt idx="387">
                  <c:v>4.7959347972199</c:v>
                </c:pt>
                <c:pt idx="388">
                  <c:v>4.85208020903801</c:v>
                </c:pt>
                <c:pt idx="389">
                  <c:v>4.90655394481114</c:v>
                </c:pt>
                <c:pt idx="390">
                  <c:v>4.95937641100241</c:v>
                </c:pt>
                <c:pt idx="391">
                  <c:v>5.01056967465694</c:v>
                </c:pt>
                <c:pt idx="392">
                  <c:v>5.06015732502984</c:v>
                </c:pt>
                <c:pt idx="393">
                  <c:v>5.10816433641735</c:v>
                </c:pt>
                <c:pt idx="394">
                  <c:v>5.15461693281997</c:v>
                </c:pt>
                <c:pt idx="395">
                  <c:v>5.19954245501503</c:v>
                </c:pt>
                <c:pt idx="396">
                  <c:v>5.24296923057364</c:v>
                </c:pt>
                <c:pt idx="397">
                  <c:v>5.28492644730049</c:v>
                </c:pt>
                <c:pt idx="398">
                  <c:v>5.3254440305258</c:v>
                </c:pt>
                <c:pt idx="399">
                  <c:v>5.36455252462248</c:v>
                </c:pt>
                <c:pt idx="400">
                  <c:v>5.4022829790701</c:v>
                </c:pt>
                <c:pt idx="401">
                  <c:v>5.438666839331</c:v>
                </c:pt>
                <c:pt idx="402">
                  <c:v>5.47373584275646</c:v>
                </c:pt>
                <c:pt idx="403">
                  <c:v>5.50752191968491</c:v>
                </c:pt>
                <c:pt idx="404">
                  <c:v>5.54005709985314</c:v>
                </c:pt>
                <c:pt idx="405">
                  <c:v>5.57137342418938</c:v>
                </c:pt>
                <c:pt idx="406">
                  <c:v>5.60150286201936</c:v>
                </c:pt>
                <c:pt idx="407">
                  <c:v>5.63047723367782</c:v>
                </c:pt>
                <c:pt idx="408">
                  <c:v>5.65832813847766</c:v>
                </c:pt>
                <c:pt idx="409">
                  <c:v>5.68508688796078</c:v>
                </c:pt>
                <c:pt idx="410">
                  <c:v>5.71078444432576</c:v>
                </c:pt>
                <c:pt idx="411">
                  <c:v>5.73545136389893</c:v>
                </c:pt>
                <c:pt idx="412">
                  <c:v>5.75911774549638</c:v>
                </c:pt>
                <c:pt idx="413">
                  <c:v>5.78181318350514</c:v>
                </c:pt>
                <c:pt idx="414">
                  <c:v>5.80356672549415</c:v>
                </c:pt>
                <c:pt idx="415">
                  <c:v>5.82440683415785</c:v>
                </c:pt>
                <c:pt idx="416">
                  <c:v>5.84436135337801</c:v>
                </c:pt>
                <c:pt idx="417">
                  <c:v>5.86345747818984</c:v>
                </c:pt>
                <c:pt idx="418">
                  <c:v>5.88172172842844</c:v>
                </c:pt>
                <c:pt idx="419">
                  <c:v>5.8991799258314</c:v>
                </c:pt>
                <c:pt idx="420">
                  <c:v>5.91585717437034</c:v>
                </c:pt>
                <c:pt idx="421">
                  <c:v>5.93177784358858</c:v>
                </c:pt>
                <c:pt idx="422">
                  <c:v>5.94696555472127</c:v>
                </c:pt>
                <c:pt idx="423">
                  <c:v>5.96144316937964</c:v>
                </c:pt>
                <c:pt idx="424">
                  <c:v>5.97523278058645</c:v>
                </c:pt>
                <c:pt idx="425">
                  <c:v>5.98835570595421</c:v>
                </c:pt>
                <c:pt idx="426">
                  <c:v>6.00083248280556</c:v>
                </c:pt>
                <c:pt idx="427">
                  <c:v>6.01268286504243</c:v>
                </c:pt>
                <c:pt idx="428">
                  <c:v>6.02392582157747</c:v>
                </c:pt>
                <c:pt idx="429">
                  <c:v>6.03457953615085</c:v>
                </c:pt>
                <c:pt idx="430">
                  <c:v>6.04466140836211</c:v>
                </c:pt>
                <c:pt idx="431">
                  <c:v>6.05418805575839</c:v>
                </c:pt>
                <c:pt idx="432">
                  <c:v>6.0631753168239</c:v>
                </c:pt>
                <c:pt idx="433">
                  <c:v>6.0716382547311</c:v>
                </c:pt>
                <c:pt idx="434">
                  <c:v>6.07959116171512</c:v>
                </c:pt>
                <c:pt idx="435">
                  <c:v>6.08704756394739</c:v>
                </c:pt>
                <c:pt idx="436">
                  <c:v>6.09402022678966</c:v>
                </c:pt>
                <c:pt idx="437">
                  <c:v>6.10052116031744</c:v>
                </c:pt>
                <c:pt idx="438">
                  <c:v>6.10656162501164</c:v>
                </c:pt>
                <c:pt idx="439">
                  <c:v>6.11215213752241</c:v>
                </c:pt>
                <c:pt idx="440">
                  <c:v>6.11730247641825</c:v>
                </c:pt>
                <c:pt idx="441">
                  <c:v>6.12202168783921</c:v>
                </c:pt>
                <c:pt idx="442">
                  <c:v>6.12631809097962</c:v>
                </c:pt>
                <c:pt idx="443">
                  <c:v>6.1301992833334</c:v>
                </c:pt>
                <c:pt idx="444">
                  <c:v>6.13367214563857</c:v>
                </c:pt>
                <c:pt idx="445">
                  <c:v>6.13674284646732</c:v>
                </c:pt>
                <c:pt idx="446">
                  <c:v>6.13941684640751</c:v>
                </c:pt>
                <c:pt idx="447">
                  <c:v>6.14169890179335</c:v>
                </c:pt>
                <c:pt idx="448">
                  <c:v>6.14359306794377</c:v>
                </c:pt>
                <c:pt idx="449">
                  <c:v>6.14510270187122</c:v>
                </c:pt>
                <c:pt idx="450">
                  <c:v>6.14623046443258</c:v>
                </c:pt>
                <c:pt idx="451">
                  <c:v>6.14697832189355</c:v>
                </c:pt>
                <c:pt idx="452">
                  <c:v>6.14734754688364</c:v>
                </c:pt>
                <c:pt idx="453">
                  <c:v>6.14733871872549</c:v>
                </c:pt>
                <c:pt idx="454">
                  <c:v>6.14695172312204</c:v>
                </c:pt>
                <c:pt idx="455">
                  <c:v>6.14618575119158</c:v>
                </c:pt>
                <c:pt idx="456">
                  <c:v>6.14503929784493</c:v>
                </c:pt>
                <c:pt idx="457">
                  <c:v>6.14351015950098</c:v>
                </c:pt>
                <c:pt idx="458">
                  <c:v>6.1415954311412</c:v>
                </c:pt>
                <c:pt idx="459">
                  <c:v>6.13929150271001</c:v>
                </c:pt>
                <c:pt idx="460">
                  <c:v>6.13659405486687</c:v>
                </c:pt>
                <c:pt idx="461">
                  <c:v>6.13349805410606</c:v>
                </c:pt>
                <c:pt idx="462">
                  <c:v>6.12999774725737</c:v>
                </c:pt>
                <c:pt idx="463">
                  <c:v>6.12608665539215</c:v>
                </c:pt>
                <c:pt idx="464">
                  <c:v>6.1217575671577</c:v>
                </c:pt>
                <c:pt idx="465">
                  <c:v>6.11700253157063</c:v>
                </c:pt>
                <c:pt idx="466">
                  <c:v>6.11181285030418</c:v>
                </c:pt>
                <c:pt idx="467">
                  <c:v>6.10617906950808</c:v>
                </c:pt>
                <c:pt idx="468">
                  <c:v>6.10009097120627</c:v>
                </c:pt>
                <c:pt idx="469">
                  <c:v>6.09353756432229</c:v>
                </c:pt>
                <c:pt idx="470">
                  <c:v>6.08650707538746</c:v>
                </c:pt>
                <c:pt idx="471">
                  <c:v>6.07898693899519</c:v>
                </c:pt>
                <c:pt idx="472">
                  <c:v>6.07096378806621</c:v>
                </c:pt>
                <c:pt idx="473">
                  <c:v>6.06242344400276</c:v>
                </c:pt>
                <c:pt idx="474">
                  <c:v>6.05335090680917</c:v>
                </c:pt>
                <c:pt idx="475">
                  <c:v>6.04373034526973</c:v>
                </c:pt>
                <c:pt idx="476">
                  <c:v>6.03354508727827</c:v>
                </c:pt>
                <c:pt idx="477">
                  <c:v>6.0227776104218</c:v>
                </c:pt>
                <c:pt idx="478">
                  <c:v>6.01140953293048</c:v>
                </c:pt>
                <c:pt idx="479">
                  <c:v>5.99942160511221</c:v>
                </c:pt>
                <c:pt idx="480">
                  <c:v>5.98679370139829</c:v>
                </c:pt>
                <c:pt idx="481">
                  <c:v>5.97350481313696</c:v>
                </c:pt>
                <c:pt idx="482">
                  <c:v>5.95953304227737</c:v>
                </c:pt>
                <c:pt idx="483">
                  <c:v>5.94485559609647</c:v>
                </c:pt>
                <c:pt idx="484">
                  <c:v>5.92944878312957</c:v>
                </c:pt>
                <c:pt idx="485">
                  <c:v>5.91328801047265</c:v>
                </c:pt>
                <c:pt idx="486">
                  <c:v>5.89634778263283</c:v>
                </c:pt>
                <c:pt idx="487">
                  <c:v>5.87860170211056</c:v>
                </c:pt>
                <c:pt idx="488">
                  <c:v>5.86002247190481</c:v>
                </c:pt>
                <c:pt idx="489">
                  <c:v>5.84058190013688</c:v>
                </c:pt>
                <c:pt idx="490">
                  <c:v>5.82025090699648</c:v>
                </c:pt>
                <c:pt idx="491">
                  <c:v>5.79899953421538</c:v>
                </c:pt>
                <c:pt idx="492">
                  <c:v>5.77679695727969</c:v>
                </c:pt>
                <c:pt idx="493">
                  <c:v>5.75361150059136</c:v>
                </c:pt>
                <c:pt idx="494">
                  <c:v>5.72941065579265</c:v>
                </c:pt>
                <c:pt idx="495">
                  <c:v>5.70416110346178</c:v>
                </c:pt>
                <c:pt idx="496">
                  <c:v>5.67782873838953</c:v>
                </c:pt>
                <c:pt idx="497">
                  <c:v>5.65037869863693</c:v>
                </c:pt>
                <c:pt idx="498">
                  <c:v>5.62177539856744</c:v>
                </c:pt>
                <c:pt idx="499">
                  <c:v>5.5919825660379</c:v>
                </c:pt>
                <c:pt idx="500">
                  <c:v>5.56096328391606</c:v>
                </c:pt>
                <c:pt idx="501">
                  <c:v>5.52868003607899</c:v>
                </c:pt>
                <c:pt idx="502">
                  <c:v>5.49509475802609</c:v>
                </c:pt>
                <c:pt idx="503">
                  <c:v>5.46016889221506</c:v>
                </c:pt>
                <c:pt idx="504">
                  <c:v>5.42386344820981</c:v>
                </c:pt>
                <c:pt idx="505">
                  <c:v>5.38613906768907</c:v>
                </c:pt>
                <c:pt idx="506">
                  <c:v>5.34695609434398</c:v>
                </c:pt>
                <c:pt idx="507">
                  <c:v>5.30627464864497</c:v>
                </c:pt>
                <c:pt idx="508">
                  <c:v>5.26405470742633</c:v>
                </c:pt>
                <c:pt idx="509">
                  <c:v>5.22025618819036</c:v>
                </c:pt>
                <c:pt idx="510">
                  <c:v>5.17483903798957</c:v>
                </c:pt>
                <c:pt idx="511">
                  <c:v>5.12776332669489</c:v>
                </c:pt>
                <c:pt idx="512">
                  <c:v>5.07898934440933</c:v>
                </c:pt>
                <c:pt idx="513">
                  <c:v>5.02847770273603</c:v>
                </c:pt>
                <c:pt idx="514">
                  <c:v>4.97618943955223</c:v>
                </c:pt>
                <c:pt idx="515">
                  <c:v>4.9220861268939</c:v>
                </c:pt>
                <c:pt idx="516">
                  <c:v>4.86612998149727</c:v>
                </c:pt>
                <c:pt idx="517">
                  <c:v>4.80828397749434</c:v>
                </c:pt>
                <c:pt idx="518">
                  <c:v>4.7485119607115</c:v>
                </c:pt>
                <c:pt idx="519">
                  <c:v>4.68677876396867</c:v>
                </c:pt>
                <c:pt idx="520">
                  <c:v>4.62305032273792</c:v>
                </c:pt>
                <c:pt idx="521">
                  <c:v>4.55729379047962</c:v>
                </c:pt>
                <c:pt idx="522">
                  <c:v>4.489477652942</c:v>
                </c:pt>
                <c:pt idx="523">
                  <c:v>4.41957184068197</c:v>
                </c:pt>
                <c:pt idx="524">
                  <c:v>4.34754783904921</c:v>
                </c:pt>
                <c:pt idx="525">
                  <c:v>4.27337879485857</c:v>
                </c:pt>
                <c:pt idx="526">
                  <c:v>4.19703961897958</c:v>
                </c:pt>
                <c:pt idx="527">
                  <c:v>4.11850708407185</c:v>
                </c:pt>
                <c:pt idx="528">
                  <c:v>4.03775991671463</c:v>
                </c:pt>
                <c:pt idx="529">
                  <c:v>3.95477888320221</c:v>
                </c:pt>
                <c:pt idx="530">
                  <c:v>3.86954686831278</c:v>
                </c:pt>
                <c:pt idx="531">
                  <c:v>3.78204894640012</c:v>
                </c:pt>
                <c:pt idx="532">
                  <c:v>3.69227244421326</c:v>
                </c:pt>
                <c:pt idx="533">
                  <c:v>3.6002069949106</c:v>
                </c:pt>
                <c:pt idx="534">
                  <c:v>3.505844582801</c:v>
                </c:pt>
                <c:pt idx="535">
                  <c:v>3.40917957842668</c:v>
                </c:pt>
                <c:pt idx="536">
                  <c:v>3.31020876367966</c:v>
                </c:pt>
                <c:pt idx="537">
                  <c:v>3.20893134673287</c:v>
                </c:pt>
                <c:pt idx="538">
                  <c:v>3.10534896665702</c:v>
                </c:pt>
                <c:pt idx="539">
                  <c:v>2.99946568768641</c:v>
                </c:pt>
                <c:pt idx="540">
                  <c:v>2.8912879831896</c:v>
                </c:pt>
                <c:pt idx="541">
                  <c:v>2.78082470949239</c:v>
                </c:pt>
              </c:numCache>
            </c:numRef>
          </c:yVal>
          <c:smooth val="1"/>
        </c:ser>
        <c:dLbls>
          <c:showLegendKey val="0"/>
          <c:showVal val="0"/>
          <c:showCatName val="0"/>
          <c:showSerName val="0"/>
          <c:showPercent val="0"/>
          <c:showBubbleSize val="0"/>
        </c:dLbls>
        <c:axId val="178188288"/>
        <c:axId val="178190208"/>
      </c:scatterChart>
      <c:scatterChart>
        <c:scatterStyle val="smooth"/>
        <c:varyColors val="0"/>
        <c:ser>
          <c:idx val="1"/>
          <c:order val="1"/>
          <c:tx>
            <c:strRef>
              <c:f>"Phase (deg)"</c:f>
              <c:strCache>
                <c:ptCount val="1"/>
                <c:pt idx="0">
                  <c:v>Phase (deg)</c:v>
                </c:pt>
              </c:strCache>
            </c:strRef>
          </c:tx>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Loop_Modeling!$AE$19:$AE$560</c:f>
              <c:numCache>
                <c:formatCode>General</c:formatCode>
                <c:ptCount val="542"/>
                <c:pt idx="0">
                  <c:v>-21.4531667797742</c:v>
                </c:pt>
                <c:pt idx="1">
                  <c:v>-21.9060992560284</c:v>
                </c:pt>
                <c:pt idx="2">
                  <c:v>-22.3666236354758</c:v>
                </c:pt>
                <c:pt idx="3">
                  <c:v>-22.8347463506738</c:v>
                </c:pt>
                <c:pt idx="4">
                  <c:v>-23.3104659048714</c:v>
                </c:pt>
                <c:pt idx="5">
                  <c:v>-23.7937724796153</c:v>
                </c:pt>
                <c:pt idx="6">
                  <c:v>-24.2846475460187</c:v>
                </c:pt>
                <c:pt idx="7">
                  <c:v>-24.7830634819745</c:v>
                </c:pt>
                <c:pt idx="8">
                  <c:v>-25.2889831977562</c:v>
                </c:pt>
                <c:pt idx="9">
                  <c:v>-25.8023597725945</c:v>
                </c:pt>
                <c:pt idx="10">
                  <c:v>-26.3231361049668</c:v>
                </c:pt>
                <c:pt idx="11">
                  <c:v>-26.8512445794584</c:v>
                </c:pt>
                <c:pt idx="12">
                  <c:v>-27.3866067531616</c:v>
                </c:pt>
                <c:pt idx="13">
                  <c:v>-27.9291330646823</c:v>
                </c:pt>
                <c:pt idx="14">
                  <c:v>-28.4787225688693</c:v>
                </c:pt>
                <c:pt idx="15">
                  <c:v>-29.0352627004426</c:v>
                </c:pt>
                <c:pt idx="16">
                  <c:v>-29.5986290696882</c:v>
                </c:pt>
                <c:pt idx="17">
                  <c:v>-30.1686852933791</c:v>
                </c:pt>
                <c:pt idx="18">
                  <c:v>-30.7452828640099</c:v>
                </c:pt>
                <c:pt idx="19">
                  <c:v>-31.3282610603419</c:v>
                </c:pt>
                <c:pt idx="20">
                  <c:v>-31.9174469021138</c:v>
                </c:pt>
                <c:pt idx="21">
                  <c:v>-32.5126551515947</c:v>
                </c:pt>
                <c:pt idx="22">
                  <c:v>-33.1136883644301</c:v>
                </c:pt>
                <c:pt idx="23">
                  <c:v>-33.720336991963</c:v>
                </c:pt>
                <c:pt idx="24">
                  <c:v>-34.3323795369063</c:v>
                </c:pt>
                <c:pt idx="25">
                  <c:v>-34.9495827638869</c:v>
                </c:pt>
                <c:pt idx="26">
                  <c:v>-35.5717019659928</c:v>
                </c:pt>
                <c:pt idx="27">
                  <c:v>-36.1984812880224</c:v>
                </c:pt>
                <c:pt idx="28">
                  <c:v>-36.8296541066847</c:v>
                </c:pt>
                <c:pt idx="29">
                  <c:v>-37.464943467499</c:v>
                </c:pt>
                <c:pt idx="30">
                  <c:v>-38.1040625776436</c:v>
                </c:pt>
                <c:pt idx="31">
                  <c:v>-38.7467153534744</c:v>
                </c:pt>
                <c:pt idx="32">
                  <c:v>-39.3925970208987</c:v>
                </c:pt>
                <c:pt idx="33">
                  <c:v>-40.0413947662664</c:v>
                </c:pt>
                <c:pt idx="34">
                  <c:v>-40.6927884349026</c:v>
                </c:pt>
                <c:pt idx="35">
                  <c:v>-41.3464512739087</c:v>
                </c:pt>
                <c:pt idx="36">
                  <c:v>-42.0020507153671</c:v>
                </c:pt>
                <c:pt idx="37">
                  <c:v>-42.659249195638</c:v>
                </c:pt>
                <c:pt idx="38">
                  <c:v>-43.3177050060235</c:v>
                </c:pt>
                <c:pt idx="39">
                  <c:v>-43.9770731697149</c:v>
                </c:pt>
                <c:pt idx="40">
                  <c:v>-44.6370063396277</c:v>
                </c:pt>
                <c:pt idx="41">
                  <c:v>-45.2971557114878</c:v>
                </c:pt>
                <c:pt idx="42">
                  <c:v>-45.9571719463459</c:v>
                </c:pt>
                <c:pt idx="43">
                  <c:v>-46.6167060965847</c:v>
                </c:pt>
                <c:pt idx="44">
                  <c:v>-47.2754105294486</c:v>
                </c:pt>
                <c:pt idx="45">
                  <c:v>-47.9329398421447</c:v>
                </c:pt>
                <c:pt idx="46">
                  <c:v>-48.5889517626724</c:v>
                </c:pt>
                <c:pt idx="47">
                  <c:v>-49.2431080307061</c:v>
                </c:pt>
                <c:pt idx="48">
                  <c:v>-49.8950752530932</c:v>
                </c:pt>
                <c:pt idx="49">
                  <c:v>-50.5445257288251</c:v>
                </c:pt>
                <c:pt idx="50">
                  <c:v>-51.1911382386927</c:v>
                </c:pt>
                <c:pt idx="51">
                  <c:v>-51.8345987952401</c:v>
                </c:pt>
                <c:pt idx="52">
                  <c:v>-52.4746013490796</c:v>
                </c:pt>
                <c:pt idx="53">
                  <c:v>-53.1108484481008</c:v>
                </c:pt>
                <c:pt idx="54">
                  <c:v>-53.7430518466234</c:v>
                </c:pt>
                <c:pt idx="55">
                  <c:v>-54.3709330620552</c:v>
                </c:pt>
                <c:pt idx="56">
                  <c:v>-54.9942238771576</c:v>
                </c:pt>
                <c:pt idx="57">
                  <c:v>-55.6126667865484</c:v>
                </c:pt>
                <c:pt idx="58">
                  <c:v>-56.2260153866002</c:v>
                </c:pt>
                <c:pt idx="59">
                  <c:v>-56.8340347084065</c:v>
                </c:pt>
                <c:pt idx="60">
                  <c:v>-57.4365014939738</c:v>
                </c:pt>
                <c:pt idx="61">
                  <c:v>-58.0332044162729</c:v>
                </c:pt>
                <c:pt idx="62">
                  <c:v>-58.623944244203</c:v>
                </c:pt>
                <c:pt idx="63">
                  <c:v>-59.2085339539338</c:v>
                </c:pt>
                <c:pt idx="64">
                  <c:v>-59.7867987884358</c:v>
                </c:pt>
                <c:pt idx="65">
                  <c:v>-60.3585762673415</c:v>
                </c:pt>
                <c:pt idx="66">
                  <c:v>-60.9237161495389</c:v>
                </c:pt>
                <c:pt idx="67">
                  <c:v>-61.4820803511433</c:v>
                </c:pt>
                <c:pt idx="68">
                  <c:v>-62.0335428216735</c:v>
                </c:pt>
                <c:pt idx="69">
                  <c:v>-62.5779893814084</c:v>
                </c:pt>
                <c:pt idx="70">
                  <c:v>-63.1153175230004</c:v>
                </c:pt>
                <c:pt idx="71">
                  <c:v>-63.6454361804927</c:v>
                </c:pt>
                <c:pt idx="72">
                  <c:v>-64.1682654689155</c:v>
                </c:pt>
                <c:pt idx="73">
                  <c:v>-64.6837363976292</c:v>
                </c:pt>
                <c:pt idx="74">
                  <c:v>-65.1917905605503</c:v>
                </c:pt>
                <c:pt idx="75">
                  <c:v>-65.6923798063353</c:v>
                </c:pt>
                <c:pt idx="76">
                  <c:v>-66.1854658915069</c:v>
                </c:pt>
                <c:pt idx="77">
                  <c:v>-66.6710201194053</c:v>
                </c:pt>
                <c:pt idx="78">
                  <c:v>-67.1490229677172</c:v>
                </c:pt>
                <c:pt idx="79">
                  <c:v>-67.6194637072033</c:v>
                </c:pt>
                <c:pt idx="80">
                  <c:v>-68.0823400140872</c:v>
                </c:pt>
                <c:pt idx="81">
                  <c:v>-68.5376575784194</c:v>
                </c:pt>
                <c:pt idx="82">
                  <c:v>-68.985429710557</c:v>
                </c:pt>
                <c:pt idx="83">
                  <c:v>-69.425676947741</c:v>
                </c:pt>
                <c:pt idx="84">
                  <c:v>-69.8584266625797</c:v>
                </c:pt>
                <c:pt idx="85">
                  <c:v>-70.2837126750796</c:v>
                </c:pt>
                <c:pt idx="86">
                  <c:v>-70.7015748697054</c:v>
                </c:pt>
                <c:pt idx="87">
                  <c:v>-71.1120588187831</c:v>
                </c:pt>
                <c:pt idx="88">
                  <c:v>-71.515215413412</c:v>
                </c:pt>
                <c:pt idx="89">
                  <c:v>-71.911100502896</c:v>
                </c:pt>
                <c:pt idx="90">
                  <c:v>-72.2997745435697</c:v>
                </c:pt>
                <c:pt idx="91">
                  <c:v>-72.6813022577527</c:v>
                </c:pt>
                <c:pt idx="92">
                  <c:v>-73.0557523034496</c:v>
                </c:pt>
                <c:pt idx="93">
                  <c:v>-73.4231969552838</c:v>
                </c:pt>
                <c:pt idx="94">
                  <c:v>-73.7837117970574</c:v>
                </c:pt>
                <c:pt idx="95">
                  <c:v>-74.1373754262176</c:v>
                </c:pt>
                <c:pt idx="96">
                  <c:v>-74.4842691704264</c:v>
                </c:pt>
                <c:pt idx="97">
                  <c:v>-74.8244768163448</c:v>
                </c:pt>
                <c:pt idx="98">
                  <c:v>-75.1580843506644</c:v>
                </c:pt>
                <c:pt idx="99">
                  <c:v>-75.4851797133577</c:v>
                </c:pt>
                <c:pt idx="100">
                  <c:v>-75.8058525630545</c:v>
                </c:pt>
                <c:pt idx="101">
                  <c:v>-76.1201940544001</c:v>
                </c:pt>
                <c:pt idx="102">
                  <c:v>-76.4282966272056</c:v>
                </c:pt>
                <c:pt idx="103">
                  <c:v>-76.7302538071614</c:v>
                </c:pt>
                <c:pt idx="104">
                  <c:v>-77.0261600178485</c:v>
                </c:pt>
                <c:pt idx="105">
                  <c:v>-77.3161104037572</c:v>
                </c:pt>
                <c:pt idx="106">
                  <c:v>-77.600200663996</c:v>
                </c:pt>
                <c:pt idx="107">
                  <c:v>-77.8785268963578</c:v>
                </c:pt>
                <c:pt idx="108">
                  <c:v>-78.1511854513929</c:v>
                </c:pt>
                <c:pt idx="109">
                  <c:v>-78.4182727961279</c:v>
                </c:pt>
                <c:pt idx="110">
                  <c:v>-78.6798853870637</c:v>
                </c:pt>
                <c:pt idx="111">
                  <c:v>-78.9361195520788</c:v>
                </c:pt>
                <c:pt idx="112">
                  <c:v>-79.187071380862</c:v>
                </c:pt>
                <c:pt idx="113">
                  <c:v>-79.4328366235018</c:v>
                </c:pt>
                <c:pt idx="114">
                  <c:v>-79.673510596859</c:v>
                </c:pt>
                <c:pt idx="115">
                  <c:v>-79.9091880983549</c:v>
                </c:pt>
                <c:pt idx="116">
                  <c:v>-80.1399633268112</c:v>
                </c:pt>
                <c:pt idx="117">
                  <c:v>-80.3659298099892</c:v>
                </c:pt>
                <c:pt idx="118">
                  <c:v>-80.5871803384788</c:v>
                </c:pt>
                <c:pt idx="119">
                  <c:v>-80.803806905599</c:v>
                </c:pt>
                <c:pt idx="120">
                  <c:v>-81.0159006529832</c:v>
                </c:pt>
                <c:pt idx="121">
                  <c:v>-81.2235518215306</c:v>
                </c:pt>
                <c:pt idx="122">
                  <c:v>-81.4268497074152</c:v>
                </c:pt>
                <c:pt idx="123">
                  <c:v>-81.6258826228587</c:v>
                </c:pt>
                <c:pt idx="124">
                  <c:v>-81.8207378613804</c:v>
                </c:pt>
                <c:pt idx="125">
                  <c:v>-82.0115016672533</c:v>
                </c:pt>
                <c:pt idx="126">
                  <c:v>-82.1982592089024</c:v>
                </c:pt>
                <c:pt idx="127">
                  <c:v>-82.3810945559961</c:v>
                </c:pt>
                <c:pt idx="128">
                  <c:v>-82.5600906599928</c:v>
                </c:pt>
                <c:pt idx="129">
                  <c:v>-82.7353293379133</c:v>
                </c:pt>
                <c:pt idx="130">
                  <c:v>-82.9068912591241</c:v>
                </c:pt>
                <c:pt idx="131">
                  <c:v>-83.074855934925</c:v>
                </c:pt>
                <c:pt idx="132">
                  <c:v>-83.2393017107453</c:v>
                </c:pt>
                <c:pt idx="133">
                  <c:v>-83.4003057607659</c:v>
                </c:pt>
                <c:pt idx="134">
                  <c:v>-83.5579440847893</c:v>
                </c:pt>
                <c:pt idx="135">
                  <c:v>-83.712291507194</c:v>
                </c:pt>
                <c:pt idx="136">
                  <c:v>-83.8634216778162</c:v>
                </c:pt>
                <c:pt idx="137">
                  <c:v>-84.0114070746124</c:v>
                </c:pt>
                <c:pt idx="138">
                  <c:v>-84.1563190079625</c:v>
                </c:pt>
                <c:pt idx="139">
                  <c:v>-84.2982276264854</c:v>
                </c:pt>
                <c:pt idx="140">
                  <c:v>-84.4372019242411</c:v>
                </c:pt>
                <c:pt idx="141">
                  <c:v>-84.5733097492072</c:v>
                </c:pt>
                <c:pt idx="142">
                  <c:v>-84.7066178129203</c:v>
                </c:pt>
                <c:pt idx="143">
                  <c:v>-84.83719170118</c:v>
                </c:pt>
                <c:pt idx="144">
                  <c:v>-84.9650958857237</c:v>
                </c:pt>
                <c:pt idx="145">
                  <c:v>-85.0903937367805</c:v>
                </c:pt>
                <c:pt idx="146">
                  <c:v>-85.2131475364238</c:v>
                </c:pt>
                <c:pt idx="147">
                  <c:v>-85.3334184926439</c:v>
                </c:pt>
                <c:pt idx="148">
                  <c:v>-85.45126675407</c:v>
                </c:pt>
                <c:pt idx="149">
                  <c:v>-85.5667514252734</c:v>
                </c:pt>
                <c:pt idx="150">
                  <c:v>-85.6799305825914</c:v>
                </c:pt>
                <c:pt idx="151">
                  <c:v>-85.7908612904116</c:v>
                </c:pt>
                <c:pt idx="152">
                  <c:v>-85.8995996178667</c:v>
                </c:pt>
                <c:pt idx="153">
                  <c:v>-86.0062006558863</c:v>
                </c:pt>
                <c:pt idx="154">
                  <c:v>-86.1107185345632</c:v>
                </c:pt>
                <c:pt idx="155">
                  <c:v>-86.2132064407903</c:v>
                </c:pt>
                <c:pt idx="156">
                  <c:v>-86.3137166361287</c:v>
                </c:pt>
                <c:pt idx="157">
                  <c:v>-86.4123004748729</c:v>
                </c:pt>
                <c:pt idx="158">
                  <c:v>-86.5090084222786</c:v>
                </c:pt>
                <c:pt idx="159">
                  <c:v>-86.6038900729244</c:v>
                </c:pt>
                <c:pt idx="160">
                  <c:v>-86.6969941691782</c:v>
                </c:pt>
                <c:pt idx="161">
                  <c:v>-86.7883686197456</c:v>
                </c:pt>
                <c:pt idx="162">
                  <c:v>-86.8780605182749</c:v>
                </c:pt>
                <c:pt idx="163">
                  <c:v>-86.9661161620009</c:v>
                </c:pt>
                <c:pt idx="164">
                  <c:v>-87.0525810704063</c:v>
                </c:pt>
                <c:pt idx="165">
                  <c:v>-87.1375000038863</c:v>
                </c:pt>
                <c:pt idx="166">
                  <c:v>-87.2209169824006</c:v>
                </c:pt>
                <c:pt idx="167">
                  <c:v>-87.3028753040994</c:v>
                </c:pt>
                <c:pt idx="168">
                  <c:v>-87.3834175639128</c:v>
                </c:pt>
                <c:pt idx="169">
                  <c:v>-87.4625856720923</c:v>
                </c:pt>
                <c:pt idx="170">
                  <c:v>-87.5404208726975</c:v>
                </c:pt>
                <c:pt idx="171">
                  <c:v>-87.616963762019</c:v>
                </c:pt>
                <c:pt idx="172">
                  <c:v>-87.6922543069325</c:v>
                </c:pt>
                <c:pt idx="173">
                  <c:v>-87.7663318631791</c:v>
                </c:pt>
                <c:pt idx="174">
                  <c:v>-87.8392351935673</c:v>
                </c:pt>
                <c:pt idx="175">
                  <c:v>-87.9110024860957</c:v>
                </c:pt>
                <c:pt idx="176">
                  <c:v>-87.9816713719926</c:v>
                </c:pt>
                <c:pt idx="177">
                  <c:v>-88.0512789436732</c:v>
                </c:pt>
                <c:pt idx="178">
                  <c:v>-88.1198617726148</c:v>
                </c:pt>
                <c:pt idx="179">
                  <c:v>-88.1874559271491</c:v>
                </c:pt>
                <c:pt idx="180">
                  <c:v>-88.2540969901762</c:v>
                </c:pt>
                <c:pt idx="181">
                  <c:v>-88.3198200768004</c:v>
                </c:pt>
                <c:pt idx="182">
                  <c:v>-88.3846598518932</c:v>
                </c:pt>
                <c:pt idx="183">
                  <c:v>-88.4486505475861</c:v>
                </c:pt>
                <c:pt idx="184">
                  <c:v>-88.5118259806987</c:v>
                </c:pt>
                <c:pt idx="185">
                  <c:v>-88.5742195701086</c:v>
                </c:pt>
                <c:pt idx="186">
                  <c:v>-88.6358643540667</c:v>
                </c:pt>
                <c:pt idx="187">
                  <c:v>-88.6967930074679</c:v>
                </c:pt>
                <c:pt idx="188">
                  <c:v>-88.7570378590818</c:v>
                </c:pt>
                <c:pt idx="189">
                  <c:v>-88.816630908754</c:v>
                </c:pt>
                <c:pt idx="190">
                  <c:v>-88.8756038445849</c:v>
                </c:pt>
                <c:pt idx="191">
                  <c:v>-88.9339880600957</c:v>
                </c:pt>
                <c:pt idx="192">
                  <c:v>-88.9918146713929</c:v>
                </c:pt>
                <c:pt idx="193">
                  <c:v>-89.0491145343396</c:v>
                </c:pt>
                <c:pt idx="194">
                  <c:v>-89.1059182617474</c:v>
                </c:pt>
                <c:pt idx="195">
                  <c:v>-89.1622562405975</c:v>
                </c:pt>
                <c:pt idx="196">
                  <c:v>-89.2181586493072</c:v>
                </c:pt>
                <c:pt idx="197">
                  <c:v>-89.2736554750511</c:v>
                </c:pt>
                <c:pt idx="198">
                  <c:v>-89.3287765311535</c:v>
                </c:pt>
                <c:pt idx="199">
                  <c:v>-89.3835514745648</c:v>
                </c:pt>
                <c:pt idx="200">
                  <c:v>-89.4380098234369</c:v>
                </c:pt>
                <c:pt idx="201">
                  <c:v>-89.4921809748141</c:v>
                </c:pt>
                <c:pt idx="202">
                  <c:v>-89.5460942224544</c:v>
                </c:pt>
                <c:pt idx="203">
                  <c:v>-89.5997787747995</c:v>
                </c:pt>
                <c:pt idx="204">
                  <c:v>-89.6532637731097</c:v>
                </c:pt>
                <c:pt idx="205">
                  <c:v>-89.7065783097834</c:v>
                </c:pt>
                <c:pt idx="206">
                  <c:v>-89.7597514468783</c:v>
                </c:pt>
                <c:pt idx="207">
                  <c:v>-89.812812234856</c:v>
                </c:pt>
                <c:pt idx="208">
                  <c:v>-89.8657897315684</c:v>
                </c:pt>
                <c:pt idx="209">
                  <c:v>-89.9187130215083</c:v>
                </c:pt>
                <c:pt idx="210">
                  <c:v>-89.9716112353453</c:v>
                </c:pt>
                <c:pt idx="211">
                  <c:v>-90.0245135697685</c:v>
                </c:pt>
                <c:pt idx="212">
                  <c:v>-90.0774493076611</c:v>
                </c:pt>
                <c:pt idx="213">
                  <c:v>-90.1304478386281</c:v>
                </c:pt>
                <c:pt idx="214">
                  <c:v>-90.183538679903</c:v>
                </c:pt>
                <c:pt idx="215">
                  <c:v>-90.2367514976578</c:v>
                </c:pt>
                <c:pt idx="216">
                  <c:v>-90.2901161287409</c:v>
                </c:pt>
                <c:pt idx="217">
                  <c:v>-90.3436626028708</c:v>
                </c:pt>
                <c:pt idx="218">
                  <c:v>-90.3974211653085</c:v>
                </c:pt>
                <c:pt idx="219">
                  <c:v>-90.4514223000391</c:v>
                </c:pt>
                <c:pt idx="220">
                  <c:v>-90.5056967534852</c:v>
                </c:pt>
                <c:pt idx="221">
                  <c:v>-90.5602755587836</c:v>
                </c:pt>
                <c:pt idx="222">
                  <c:v>-90.6151900606474</c:v>
                </c:pt>
                <c:pt idx="223">
                  <c:v>-90.670471940845</c:v>
                </c:pt>
                <c:pt idx="224">
                  <c:v>-90.7261532443189</c:v>
                </c:pt>
                <c:pt idx="225">
                  <c:v>-90.7822664059721</c:v>
                </c:pt>
                <c:pt idx="226">
                  <c:v>-90.8388442781475</c:v>
                </c:pt>
                <c:pt idx="227">
                  <c:v>-90.8959201588242</c:v>
                </c:pt>
                <c:pt idx="228">
                  <c:v>-90.9535278205543</c:v>
                </c:pt>
                <c:pt idx="229">
                  <c:v>-91.0117015401616</c:v>
                </c:pt>
                <c:pt idx="230">
                  <c:v>-91.0704761292224</c:v>
                </c:pt>
                <c:pt idx="231">
                  <c:v>-91.1298869653464</c:v>
                </c:pt>
                <c:pt idx="232">
                  <c:v>-91.1899700242726</c:v>
                </c:pt>
                <c:pt idx="233">
                  <c:v>-91.2507619127914</c:v>
                </c:pt>
                <c:pt idx="234">
                  <c:v>-91.3122999025039</c:v>
                </c:pt>
                <c:pt idx="235">
                  <c:v>-91.3746219644195</c:v>
                </c:pt>
                <c:pt idx="236">
                  <c:v>-91.4377668043953</c:v>
                </c:pt>
                <c:pt idx="237">
                  <c:v>-91.5017738994089</c:v>
                </c:pt>
                <c:pt idx="238">
                  <c:v>-91.5666835346553</c:v>
                </c:pt>
                <c:pt idx="239">
                  <c:v>-91.6325368414487</c:v>
                </c:pt>
                <c:pt idx="240">
                  <c:v>-91.6993758359056</c:v>
                </c:pt>
                <c:pt idx="241">
                  <c:v>-91.7672434583735</c:v>
                </c:pt>
                <c:pt idx="242">
                  <c:v>-91.836183613565</c:v>
                </c:pt>
                <c:pt idx="243">
                  <c:v>-91.9062412113438</c:v>
                </c:pt>
                <c:pt idx="244">
                  <c:v>-91.9774622081007</c:v>
                </c:pt>
                <c:pt idx="245">
                  <c:v>-92.0498936486434</c:v>
                </c:pt>
                <c:pt idx="246">
                  <c:v>-92.1235837085158</c:v>
                </c:pt>
                <c:pt idx="247">
                  <c:v>-92.1985817366435</c:v>
                </c:pt>
                <c:pt idx="248">
                  <c:v>-92.2749382981926</c:v>
                </c:pt>
                <c:pt idx="249">
                  <c:v>-92.352705217512</c:v>
                </c:pt>
                <c:pt idx="250">
                  <c:v>-92.4319356210118</c:v>
                </c:pt>
                <c:pt idx="251">
                  <c:v>-92.5126839798167</c:v>
                </c:pt>
                <c:pt idx="252">
                  <c:v>-92.5950061520144</c:v>
                </c:pt>
                <c:pt idx="253">
                  <c:v>-92.6789594243003</c:v>
                </c:pt>
                <c:pt idx="254">
                  <c:v>-92.7646025528029</c:v>
                </c:pt>
                <c:pt idx="255">
                  <c:v>-92.8519958028559</c:v>
                </c:pt>
                <c:pt idx="256">
                  <c:v>-92.941200987463</c:v>
                </c:pt>
                <c:pt idx="257">
                  <c:v>-93.0322815041842</c:v>
                </c:pt>
                <c:pt idx="258">
                  <c:v>-93.1253023701551</c:v>
                </c:pt>
                <c:pt idx="259">
                  <c:v>-93.220330254932</c:v>
                </c:pt>
                <c:pt idx="260">
                  <c:v>-93.3174335108418</c:v>
                </c:pt>
                <c:pt idx="261">
                  <c:v>-93.4166822004991</c:v>
                </c:pt>
                <c:pt idx="262">
                  <c:v>-93.5181481211427</c:v>
                </c:pt>
                <c:pt idx="263">
                  <c:v>-93.6219048254315</c:v>
                </c:pt>
                <c:pt idx="264">
                  <c:v>-93.728027638334</c:v>
                </c:pt>
                <c:pt idx="265">
                  <c:v>-93.8365936697402</c:v>
                </c:pt>
                <c:pt idx="266">
                  <c:v>-93.9476818224247</c:v>
                </c:pt>
                <c:pt idx="267">
                  <c:v>-94.0613727949935</c:v>
                </c:pt>
                <c:pt idx="268">
                  <c:v>-94.1777490794553</c:v>
                </c:pt>
                <c:pt idx="269">
                  <c:v>-94.2968949530711</c:v>
                </c:pt>
                <c:pt idx="270">
                  <c:v>-94.4188964641525</c:v>
                </c:pt>
                <c:pt idx="271">
                  <c:v>-94.5438414115095</c:v>
                </c:pt>
                <c:pt idx="272">
                  <c:v>-94.6718193172693</c:v>
                </c:pt>
                <c:pt idx="273">
                  <c:v>-94.8029213928326</c:v>
                </c:pt>
                <c:pt idx="274">
                  <c:v>-94.9372404977711</c:v>
                </c:pt>
                <c:pt idx="275">
                  <c:v>-95.0748710915202</c:v>
                </c:pt>
                <c:pt idx="276">
                  <c:v>-95.2159091777734</c:v>
                </c:pt>
                <c:pt idx="277">
                  <c:v>-95.3604522415462</c:v>
                </c:pt>
                <c:pt idx="278">
                  <c:v>-95.5085991789408</c:v>
                </c:pt>
                <c:pt idx="279">
                  <c:v>-95.6604502197104</c:v>
                </c:pt>
                <c:pt idx="280">
                  <c:v>-95.8161068427952</c:v>
                </c:pt>
                <c:pt idx="281">
                  <c:v>-95.9756716850747</c:v>
                </c:pt>
                <c:pt idx="282">
                  <c:v>-96.1392484436554</c:v>
                </c:pt>
                <c:pt idx="283">
                  <c:v>-96.3069417720882</c:v>
                </c:pt>
                <c:pt idx="284">
                  <c:v>-96.4788571709819</c:v>
                </c:pt>
                <c:pt idx="285">
                  <c:v>-96.6551008735449</c:v>
                </c:pt>
                <c:pt idx="286">
                  <c:v>-96.8357797266556</c:v>
                </c:pt>
                <c:pt idx="287">
                  <c:v>-97.0210010681103</c:v>
                </c:pt>
                <c:pt idx="288">
                  <c:v>-97.2108726007551</c:v>
                </c:pt>
                <c:pt idx="289">
                  <c:v>-97.4055022642333</c:v>
                </c:pt>
                <c:pt idx="290">
                  <c:v>-97.6049981051138</c:v>
                </c:pt>
                <c:pt idx="291">
                  <c:v>-97.8094681461735</c:v>
                </c:pt>
                <c:pt idx="292">
                  <c:v>-98.019020255603</c:v>
                </c:pt>
                <c:pt idx="293">
                  <c:v>-98.2337620168892</c:v>
                </c:pt>
                <c:pt idx="294">
                  <c:v>-98.4538006000919</c:v>
                </c:pt>
                <c:pt idx="295">
                  <c:v>-98.6792426351831</c:v>
                </c:pt>
                <c:pt idx="296">
                  <c:v>-98.9101940880481</c:v>
                </c:pt>
                <c:pt idx="297">
                  <c:v>-99.1467601396703</c:v>
                </c:pt>
                <c:pt idx="298">
                  <c:v>-99.3890450689237</c:v>
                </c:pt>
                <c:pt idx="299">
                  <c:v>-99.6371521392844</c:v>
                </c:pt>
                <c:pt idx="300">
                  <c:v>-99.8911834896605</c:v>
                </c:pt>
                <c:pt idx="301">
                  <c:v>-100.151240029401</c:v>
                </c:pt>
                <c:pt idx="302">
                  <c:v>-100.417421337415</c:v>
                </c:pt>
                <c:pt idx="303">
                  <c:v>-100.689825565186</c:v>
                </c:pt>
                <c:pt idx="304">
                  <c:v>-100.96854934333</c:v>
                </c:pt>
                <c:pt idx="305">
                  <c:v>-101.253687691203</c:v>
                </c:pt>
                <c:pt idx="306">
                  <c:v>-101.545333928924</c:v>
                </c:pt>
                <c:pt idx="307">
                  <c:v>-101.843579591045</c:v>
                </c:pt>
                <c:pt idx="308">
                  <c:v>-102.148514341011</c:v>
                </c:pt>
                <c:pt idx="309">
                  <c:v>-102.460225885391</c:v>
                </c:pt>
                <c:pt idx="310">
                  <c:v>-102.778799886829</c:v>
                </c:pt>
                <c:pt idx="311">
                  <c:v>-103.104319874534</c:v>
                </c:pt>
                <c:pt idx="312">
                  <c:v>-103.436867151126</c:v>
                </c:pt>
                <c:pt idx="313">
                  <c:v>-103.776520694551</c:v>
                </c:pt>
                <c:pt idx="314">
                  <c:v>-104.12335705384</c:v>
                </c:pt>
                <c:pt idx="315">
                  <c:v>-104.477450237412</c:v>
                </c:pt>
                <c:pt idx="316">
                  <c:v>-104.83887159272</c:v>
                </c:pt>
                <c:pt idx="317">
                  <c:v>-105.207689676024</c:v>
                </c:pt>
                <c:pt idx="318">
                  <c:v>-105.583970111196</c:v>
                </c:pt>
                <c:pt idx="319">
                  <c:v>-105.967775436515</c:v>
                </c:pt>
                <c:pt idx="320">
                  <c:v>-106.35916493854</c:v>
                </c:pt>
                <c:pt idx="321">
                  <c:v>-106.758194472258</c:v>
                </c:pt>
                <c:pt idx="322">
                  <c:v>-107.164916266876</c:v>
                </c:pt>
                <c:pt idx="323">
                  <c:v>-107.579378716751</c:v>
                </c:pt>
                <c:pt idx="324">
                  <c:v>-108.001626157145</c:v>
                </c:pt>
                <c:pt idx="325">
                  <c:v>-108.431698624682</c:v>
                </c:pt>
                <c:pt idx="326">
                  <c:v>-108.869631602567</c:v>
                </c:pt>
                <c:pt idx="327">
                  <c:v>-109.315455750834</c:v>
                </c:pt>
                <c:pt idx="328">
                  <c:v>-109.769196622114</c:v>
                </c:pt>
                <c:pt idx="329">
                  <c:v>-110.230874363621</c:v>
                </c:pt>
                <c:pt idx="330">
                  <c:v>-110.70050340627</c:v>
                </c:pt>
                <c:pt idx="331">
                  <c:v>-111.178092142099</c:v>
                </c:pt>
                <c:pt idx="332">
                  <c:v>-111.663642591347</c:v>
                </c:pt>
                <c:pt idx="333">
                  <c:v>-112.157150060793</c:v>
                </c:pt>
                <c:pt idx="334">
                  <c:v>-112.658602795185</c:v>
                </c:pt>
                <c:pt idx="335">
                  <c:v>-113.167981623795</c:v>
                </c:pt>
                <c:pt idx="336">
                  <c:v>-113.685259604337</c:v>
                </c:pt>
                <c:pt idx="337">
                  <c:v>-114.210401666725</c:v>
                </c:pt>
                <c:pt idx="338">
                  <c:v>-114.743364259291</c:v>
                </c:pt>
                <c:pt idx="339">
                  <c:v>-115.284095000303</c:v>
                </c:pt>
                <c:pt idx="340">
                  <c:v>-115.832532337769</c:v>
                </c:pt>
                <c:pt idx="341">
                  <c:v>-116.388605220644</c:v>
                </c:pt>
                <c:pt idx="342">
                  <c:v>-116.952232784723</c:v>
                </c:pt>
                <c:pt idx="343">
                  <c:v>-117.523324056552</c:v>
                </c:pt>
                <c:pt idx="344">
                  <c:v>-118.10177767881</c:v>
                </c:pt>
                <c:pt idx="345">
                  <c:v>-118.687481660633</c:v>
                </c:pt>
                <c:pt idx="346">
                  <c:v>-119.280313156361</c:v>
                </c:pt>
                <c:pt idx="347">
                  <c:v>-119.880138276204</c:v>
                </c:pt>
                <c:pt idx="348">
                  <c:v>-120.486811932212</c:v>
                </c:pt>
                <c:pt idx="349">
                  <c:v>-121.100177722874</c:v>
                </c:pt>
                <c:pt idx="350">
                  <c:v>-121.720067859525</c:v>
                </c:pt>
                <c:pt idx="351">
                  <c:v>-122.346303137541</c:v>
                </c:pt>
                <c:pt idx="352">
                  <c:v>-122.978692955092</c:v>
                </c:pt>
                <c:pt idx="353">
                  <c:v>-123.617035381952</c:v>
                </c:pt>
                <c:pt idx="354">
                  <c:v>-124.261117280546</c:v>
                </c:pt>
                <c:pt idx="355">
                  <c:v>-124.91071448106</c:v>
                </c:pt>
                <c:pt idx="356">
                  <c:v>-125.565592012047</c:v>
                </c:pt>
                <c:pt idx="357">
                  <c:v>-126.225504387528</c:v>
                </c:pt>
                <c:pt idx="358">
                  <c:v>-126.890195951129</c:v>
                </c:pt>
                <c:pt idx="359">
                  <c:v>-127.559401277282</c:v>
                </c:pt>
                <c:pt idx="360">
                  <c:v>-128.232845629031</c:v>
                </c:pt>
                <c:pt idx="361">
                  <c:v>-128.910245471407</c:v>
                </c:pt>
                <c:pt idx="362">
                  <c:v>-129.591309038853</c:v>
                </c:pt>
                <c:pt idx="363">
                  <c:v>-130.275736954567</c:v>
                </c:pt>
                <c:pt idx="364">
                  <c:v>-130.963222899148</c:v>
                </c:pt>
                <c:pt idx="365">
                  <c:v>-131.653454325371</c:v>
                </c:pt>
                <c:pt idx="366">
                  <c:v>-132.346113215428</c:v>
                </c:pt>
                <c:pt idx="367">
                  <c:v>-133.040876876507</c:v>
                </c:pt>
                <c:pt idx="368">
                  <c:v>-133.737418770127</c:v>
                </c:pt>
                <c:pt idx="369">
                  <c:v>-134.435409370289</c:v>
                </c:pt>
                <c:pt idx="370">
                  <c:v>-135.134517045146</c:v>
                </c:pt>
                <c:pt idx="371">
                  <c:v>-135.834408956646</c:v>
                </c:pt>
                <c:pt idx="372">
                  <c:v>-136.534751972379</c:v>
                </c:pt>
                <c:pt idx="373">
                  <c:v>-137.235213583714</c:v>
                </c:pt>
                <c:pt idx="374">
                  <c:v>-137.935462824268</c:v>
                </c:pt>
                <c:pt idx="375">
                  <c:v>-138.635171182729</c:v>
                </c:pt>
                <c:pt idx="376">
                  <c:v>-139.334013504133</c:v>
                </c:pt>
                <c:pt idx="377">
                  <c:v>-140.03166887386</c:v>
                </c:pt>
                <c:pt idx="378">
                  <c:v>-140.727821478803</c:v>
                </c:pt>
                <c:pt idx="379">
                  <c:v>-141.422161440446</c:v>
                </c:pt>
                <c:pt idx="380">
                  <c:v>-142.114385614944</c:v>
                </c:pt>
                <c:pt idx="381">
                  <c:v>-142.804198355648</c:v>
                </c:pt>
                <c:pt idx="382">
                  <c:v>-143.491312233979</c:v>
                </c:pt>
                <c:pt idx="383">
                  <c:v>-144.175448715006</c:v>
                </c:pt>
                <c:pt idx="384">
                  <c:v>-144.856338784595</c:v>
                </c:pt>
                <c:pt idx="385">
                  <c:v>-145.533723525493</c:v>
                </c:pt>
                <c:pt idx="386">
                  <c:v>-146.207354640265</c:v>
                </c:pt>
                <c:pt idx="387">
                  <c:v>-146.876994919517</c:v>
                </c:pt>
                <c:pt idx="388">
                  <c:v>-147.542418654382</c:v>
                </c:pt>
                <c:pt idx="389">
                  <c:v>-148.203411992738</c:v>
                </c:pt>
                <c:pt idx="390">
                  <c:v>-148.859773239172</c:v>
                </c:pt>
                <c:pt idx="391">
                  <c:v>-149.511313099131</c:v>
                </c:pt>
                <c:pt idx="392">
                  <c:v>-150.157854868165</c:v>
                </c:pt>
                <c:pt idx="393">
                  <c:v>-150.799234567594</c:v>
                </c:pt>
                <c:pt idx="394">
                  <c:v>-151.435301028271</c:v>
                </c:pt>
                <c:pt idx="395">
                  <c:v>-152.065915924463</c:v>
                </c:pt>
                <c:pt idx="396">
                  <c:v>-152.69095376017</c:v>
                </c:pt>
                <c:pt idx="397">
                  <c:v>-153.310301810417</c:v>
                </c:pt>
                <c:pt idx="398">
                  <c:v>-153.923860020287</c:v>
                </c:pt>
                <c:pt idx="399">
                  <c:v>-154.531540864612</c:v>
                </c:pt>
                <c:pt idx="400">
                  <c:v>-155.133269171347</c:v>
                </c:pt>
                <c:pt idx="401">
                  <c:v>-155.728981911744</c:v>
                </c:pt>
                <c:pt idx="402">
                  <c:v>-156.318627960481</c:v>
                </c:pt>
                <c:pt idx="403">
                  <c:v>-156.902167828903</c:v>
                </c:pt>
                <c:pt idx="404">
                  <c:v>-157.479573374501</c:v>
                </c:pt>
                <c:pt idx="405">
                  <c:v>-158.050827489736</c:v>
                </c:pt>
                <c:pt idx="406">
                  <c:v>-158.615923773173</c:v>
                </c:pt>
                <c:pt idx="407">
                  <c:v>-159.174866185851</c:v>
                </c:pt>
                <c:pt idx="408">
                  <c:v>-159.727668695676</c:v>
                </c:pt>
                <c:pt idx="409">
                  <c:v>-160.274354912452</c:v>
                </c:pt>
                <c:pt idx="410">
                  <c:v>-160.814957716084</c:v>
                </c:pt>
                <c:pt idx="411">
                  <c:v>-161.349518880285</c:v>
                </c:pt>
                <c:pt idx="412">
                  <c:v>-161.878088693952</c:v>
                </c:pt>
                <c:pt idx="413">
                  <c:v>-162.400725582255</c:v>
                </c:pt>
                <c:pt idx="414">
                  <c:v>-162.917495729252</c:v>
                </c:pt>
                <c:pt idx="415">
                  <c:v>-163.42847270374</c:v>
                </c:pt>
                <c:pt idx="416">
                  <c:v>-163.933737089815</c:v>
                </c:pt>
                <c:pt idx="417">
                  <c:v>-164.433376123519</c:v>
                </c:pt>
                <c:pt idx="418">
                  <c:v>-164.927483336749</c:v>
                </c:pt>
                <c:pt idx="419">
                  <c:v>-165.416158209456</c:v>
                </c:pt>
                <c:pt idx="420">
                  <c:v>-165.899505831044</c:v>
                </c:pt>
                <c:pt idx="421">
                  <c:v>-166.377636571701</c:v>
                </c:pt>
                <c:pt idx="422">
                  <c:v>-166.850665764296</c:v>
                </c:pt>
                <c:pt idx="423">
                  <c:v>-167.318713397336</c:v>
                </c:pt>
                <c:pt idx="424">
                  <c:v>-167.781903819374</c:v>
                </c:pt>
                <c:pt idx="425">
                  <c:v>-168.240365455133</c:v>
                </c:pt>
                <c:pt idx="426">
                  <c:v>-168.694230533553</c:v>
                </c:pt>
                <c:pt idx="427">
                  <c:v>-169.143634827836</c:v>
                </c:pt>
                <c:pt idx="428">
                  <c:v>-169.588717407507</c:v>
                </c:pt>
                <c:pt idx="429">
                  <c:v>-170.029620402444</c:v>
                </c:pt>
                <c:pt idx="430">
                  <c:v>-170.466488778731</c:v>
                </c:pt>
                <c:pt idx="431">
                  <c:v>-170.899470126171</c:v>
                </c:pt>
                <c:pt idx="432">
                  <c:v>-171.328714457212</c:v>
                </c:pt>
                <c:pt idx="433">
                  <c:v>-171.75437401701</c:v>
                </c:pt>
                <c:pt idx="434">
                  <c:v>-172.176603104301</c:v>
                </c:pt>
                <c:pt idx="435">
                  <c:v>-172.595557902742</c:v>
                </c:pt>
                <c:pt idx="436">
                  <c:v>-173.011396322309</c:v>
                </c:pt>
                <c:pt idx="437">
                  <c:v>-173.424277850369</c:v>
                </c:pt>
                <c:pt idx="438">
                  <c:v>-173.834363411967</c:v>
                </c:pt>
                <c:pt idx="439">
                  <c:v>-174.241815238902</c:v>
                </c:pt>
                <c:pt idx="440">
                  <c:v>-174.646796747093</c:v>
                </c:pt>
                <c:pt idx="441">
                  <c:v>-175.049472421793</c:v>
                </c:pt>
                <c:pt idx="442">
                  <c:v>-175.450007710133</c:v>
                </c:pt>
                <c:pt idx="443">
                  <c:v>-175.848568920514</c:v>
                </c:pt>
                <c:pt idx="444">
                  <c:v>-176.245323128341</c:v>
                </c:pt>
                <c:pt idx="445">
                  <c:v>-176.640438087597</c:v>
                </c:pt>
                <c:pt idx="446">
                  <c:v>-177.03408214774</c:v>
                </c:pt>
                <c:pt idx="447">
                  <c:v>-177.42642417542</c:v>
                </c:pt>
                <c:pt idx="448">
                  <c:v>-177.817633480493</c:v>
                </c:pt>
                <c:pt idx="449">
                  <c:v>-178.207879745834</c:v>
                </c:pt>
                <c:pt idx="450">
                  <c:v>-178.597332960414</c:v>
                </c:pt>
                <c:pt idx="451">
                  <c:v>-178.986163355156</c:v>
                </c:pt>
                <c:pt idx="452">
                  <c:v>-179.374541341028</c:v>
                </c:pt>
                <c:pt idx="453">
                  <c:v>-179.76263744888</c:v>
                </c:pt>
                <c:pt idx="454">
                  <c:v>179.84937772949</c:v>
                </c:pt>
                <c:pt idx="455">
                  <c:v>179.461333599563</c:v>
                </c:pt>
                <c:pt idx="456">
                  <c:v>179.073059622117</c:v>
                </c:pt>
                <c:pt idx="457">
                  <c:v>178.684385371553</c:v>
                </c:pt>
                <c:pt idx="458">
                  <c:v>178.295140595043</c:v>
                </c:pt>
                <c:pt idx="459">
                  <c:v>177.90515527301</c:v>
                </c:pt>
                <c:pt idx="460">
                  <c:v>177.514259681446</c:v>
                </c:pt>
                <c:pt idx="461">
                  <c:v>177.122284456589</c:v>
                </c:pt>
                <c:pt idx="462">
                  <c:v>176.729060662469</c:v>
                </c:pt>
                <c:pt idx="463">
                  <c:v>176.334419861829</c:v>
                </c:pt>
                <c:pt idx="464">
                  <c:v>175.938194190944</c:v>
                </c:pt>
                <c:pt idx="465">
                  <c:v>175.540216438849</c:v>
                </c:pt>
                <c:pt idx="466">
                  <c:v>175.140320131478</c:v>
                </c:pt>
                <c:pt idx="467">
                  <c:v>174.738339621236</c:v>
                </c:pt>
                <c:pt idx="468">
                  <c:v>174.334110182509</c:v>
                </c:pt>
                <c:pt idx="469">
                  <c:v>173.927468113614</c:v>
                </c:pt>
                <c:pt idx="470">
                  <c:v>173.518250845694</c:v>
                </c:pt>
                <c:pt idx="471">
                  <c:v>173.106297059043</c:v>
                </c:pt>
                <c:pt idx="472">
                  <c:v>172.691446807364</c:v>
                </c:pt>
                <c:pt idx="473">
                  <c:v>172.273541650411</c:v>
                </c:pt>
                <c:pt idx="474">
                  <c:v>171.852424795505</c:v>
                </c:pt>
                <c:pt idx="475">
                  <c:v>171.427941248351</c:v>
                </c:pt>
                <c:pt idx="476">
                  <c:v>170.999937973589</c:v>
                </c:pt>
                <c:pt idx="477">
                  <c:v>170.568264065498</c:v>
                </c:pt>
                <c:pt idx="478">
                  <c:v>170.132770929206</c:v>
                </c:pt>
                <c:pt idx="479">
                  <c:v>169.693312472785</c:v>
                </c:pt>
                <c:pt idx="480">
                  <c:v>169.249745310515</c:v>
                </c:pt>
                <c:pt idx="481">
                  <c:v>168.801928977613</c:v>
                </c:pt>
                <c:pt idx="482">
                  <c:v>168.349726156629</c:v>
                </c:pt>
                <c:pt idx="483">
                  <c:v>167.893002915694</c:v>
                </c:pt>
                <c:pt idx="484">
                  <c:v>167.431628958725</c:v>
                </c:pt>
                <c:pt idx="485">
                  <c:v>166.965477887634</c:v>
                </c:pt>
                <c:pt idx="486">
                  <c:v>166.494427476502</c:v>
                </c:pt>
                <c:pt idx="487">
                  <c:v>166.018359957616</c:v>
                </c:pt>
                <c:pt idx="488">
                  <c:v>165.53716231915</c:v>
                </c:pt>
                <c:pt idx="489">
                  <c:v>165.05072661421</c:v>
                </c:pt>
                <c:pt idx="490">
                  <c:v>164.558950280804</c:v>
                </c:pt>
                <c:pt idx="491">
                  <c:v>164.061736472239</c:v>
                </c:pt>
                <c:pt idx="492">
                  <c:v>163.558994397277</c:v>
                </c:pt>
                <c:pt idx="493">
                  <c:v>163.050639669278</c:v>
                </c:pt>
                <c:pt idx="494">
                  <c:v>162.536594663408</c:v>
                </c:pt>
                <c:pt idx="495">
                  <c:v>162.016788880833</c:v>
                </c:pt>
                <c:pt idx="496">
                  <c:v>161.491159318694</c:v>
                </c:pt>
                <c:pt idx="497">
                  <c:v>160.959650844459</c:v>
                </c:pt>
                <c:pt idx="498">
                  <c:v>160.422216573131</c:v>
                </c:pt>
                <c:pt idx="499">
                  <c:v>159.878818245567</c:v>
                </c:pt>
                <c:pt idx="500">
                  <c:v>159.329426606054</c:v>
                </c:pt>
                <c:pt idx="501">
                  <c:v>158.774021777066</c:v>
                </c:pt>
                <c:pt idx="502">
                  <c:v>158.212593629003</c:v>
                </c:pt>
                <c:pt idx="503">
                  <c:v>157.645142142508</c:v>
                </c:pt>
                <c:pt idx="504">
                  <c:v>157.071677760849</c:v>
                </c:pt>
                <c:pt idx="505">
                  <c:v>156.492221729656</c:v>
                </c:pt>
                <c:pt idx="506">
                  <c:v>155.906806421233</c:v>
                </c:pt>
                <c:pt idx="507">
                  <c:v>155.315475640475</c:v>
                </c:pt>
                <c:pt idx="508">
                  <c:v>154.71828490939</c:v>
                </c:pt>
                <c:pt idx="509">
                  <c:v>154.115301727106</c:v>
                </c:pt>
                <c:pt idx="510">
                  <c:v>153.506605802221</c:v>
                </c:pt>
                <c:pt idx="511">
                  <c:v>152.892289254303</c:v>
                </c:pt>
                <c:pt idx="512">
                  <c:v>152.272456781405</c:v>
                </c:pt>
                <c:pt idx="513">
                  <c:v>151.647225790459</c:v>
                </c:pt>
                <c:pt idx="514">
                  <c:v>151.016726487527</c:v>
                </c:pt>
                <c:pt idx="515">
                  <c:v>150.381101925004</c:v>
                </c:pt>
                <c:pt idx="516">
                  <c:v>149.740508003043</c:v>
                </c:pt>
                <c:pt idx="517">
                  <c:v>149.095113422655</c:v>
                </c:pt>
                <c:pt idx="518">
                  <c:v>148.445099588228</c:v>
                </c:pt>
                <c:pt idx="519">
                  <c:v>147.790660457481</c:v>
                </c:pt>
                <c:pt idx="520">
                  <c:v>147.1320023372</c:v>
                </c:pt>
                <c:pt idx="521">
                  <c:v>146.469343623516</c:v>
                </c:pt>
                <c:pt idx="522">
                  <c:v>145.802914485865</c:v>
                </c:pt>
                <c:pt idx="523">
                  <c:v>145.132956494233</c:v>
                </c:pt>
                <c:pt idx="524">
                  <c:v>144.459722189786</c:v>
                </c:pt>
                <c:pt idx="525">
                  <c:v>143.783474599448</c:v>
                </c:pt>
                <c:pt idx="526">
                  <c:v>143.104486695558</c:v>
                </c:pt>
                <c:pt idx="527">
                  <c:v>142.423040802227</c:v>
                </c:pt>
                <c:pt idx="528">
                  <c:v>141.739427950565</c:v>
                </c:pt>
                <c:pt idx="529">
                  <c:v>141.053947185493</c:v>
                </c:pt>
                <c:pt idx="530">
                  <c:v>140.366904827344</c:v>
                </c:pt>
                <c:pt idx="531">
                  <c:v>139.678613691945</c:v>
                </c:pt>
                <c:pt idx="532">
                  <c:v>138.989392273385</c:v>
                </c:pt>
                <c:pt idx="533">
                  <c:v>138.299563894031</c:v>
                </c:pt>
                <c:pt idx="534">
                  <c:v>137.609455826772</c:v>
                </c:pt>
                <c:pt idx="535">
                  <c:v>136.919398394805</c:v>
                </c:pt>
                <c:pt idx="536">
                  <c:v>136.229724054501</c:v>
                </c:pt>
                <c:pt idx="537">
                  <c:v>135.540766467144</c:v>
                </c:pt>
                <c:pt idx="538">
                  <c:v>134.852859565424</c:v>
                </c:pt>
                <c:pt idx="539">
                  <c:v>134.166336620665</c:v>
                </c:pt>
                <c:pt idx="540">
                  <c:v>133.481529316748</c:v>
                </c:pt>
                <c:pt idx="541">
                  <c:v>132.798766836598</c:v>
                </c:pt>
              </c:numCache>
            </c:numRef>
          </c:yVal>
          <c:smooth val="1"/>
        </c:ser>
        <c:dLbls>
          <c:showLegendKey val="0"/>
          <c:showVal val="0"/>
          <c:showCatName val="0"/>
          <c:showSerName val="0"/>
          <c:showPercent val="0"/>
          <c:showBubbleSize val="0"/>
        </c:dLbls>
        <c:axId val="175511040"/>
        <c:axId val="175509504"/>
      </c:scatterChart>
      <c:valAx>
        <c:axId val="178188288"/>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190208"/>
        <c:crosses val="autoZero"/>
        <c:crossBetween val="midCat"/>
      </c:valAx>
      <c:valAx>
        <c:axId val="178190208"/>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188288"/>
        <c:crosses val="autoZero"/>
        <c:crossBetween val="midCat"/>
        <c:majorUnit val="20"/>
        <c:minorUnit val="10"/>
      </c:valAx>
      <c:valAx>
        <c:axId val="175511040"/>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09504"/>
        <c:crosses val="autoZero"/>
        <c:crossBetween val="midCat"/>
      </c:valAx>
      <c:valAx>
        <c:axId val="175509504"/>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11040"/>
        <c:crosses val="max"/>
        <c:crossBetween val="midCat"/>
        <c:majorUnit val="90"/>
        <c:minorUnit val="45"/>
      </c:valAx>
    </c:plotArea>
    <c:legend>
      <c:legendPos val="r"/>
      <c:layout>
        <c:manualLayout>
          <c:xMode val="edge"/>
          <c:yMode val="edge"/>
          <c:x val="0.798805582095125"/>
          <c:y val="0.14321997959862"/>
          <c:w val="0.134594492760573"/>
          <c:h val="0.106916098611994"/>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9ab468d-2a4e-4a53-9b29-363742c6de08}"/>
      </c:ext>
    </c:extLst>
  </c:chart>
  <c:txPr>
    <a:bodyPr/>
    <a:lstStyle/>
    <a:p>
      <a:pPr>
        <a:defRPr lang="pl-PL"/>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Error</a:t>
            </a:r>
            <a:r>
              <a:rPr lang="en-US" baseline="0"/>
              <a:t> Amplifier Transfer</a:t>
            </a:r>
            <a:endParaRPr lang="en-US" baseline="0"/>
          </a:p>
        </c:rich>
      </c:tx>
      <c:layout/>
      <c:overlay val="0"/>
    </c:title>
    <c:autoTitleDeleted val="0"/>
    <c:plotArea>
      <c:layout/>
      <c:scatterChart>
        <c:scatterStyle val="smooth"/>
        <c:varyColors val="0"/>
        <c:ser>
          <c:idx val="0"/>
          <c:order val="0"/>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Loop_Modeling!$BD$19:$BD$560</c:f>
              <c:numCache>
                <c:formatCode>General</c:formatCode>
                <c:ptCount val="542"/>
                <c:pt idx="0">
                  <c:v>10.8701668629071</c:v>
                </c:pt>
                <c:pt idx="1">
                  <c:v>10.6704223727674</c:v>
                </c:pt>
                <c:pt idx="2">
                  <c:v>10.4706899083114</c:v>
                </c:pt>
                <c:pt idx="3">
                  <c:v>10.2709700347386</c:v>
                </c:pt>
                <c:pt idx="4">
                  <c:v>10.071263343736</c:v>
                </c:pt>
                <c:pt idx="5">
                  <c:v>9.8715704547119</c:v>
                </c:pt>
                <c:pt idx="6">
                  <c:v>9.67189201608667</c:v>
                </c:pt>
                <c:pt idx="7">
                  <c:v>9.47222870664315</c:v>
                </c:pt>
                <c:pt idx="8">
                  <c:v>9.27258123693785</c:v>
                </c:pt>
                <c:pt idx="9">
                  <c:v>9.07295035077845</c:v>
                </c:pt>
                <c:pt idx="10">
                  <c:v>8.87333682676786</c:v>
                </c:pt>
                <c:pt idx="11">
                  <c:v>8.67374147991866</c:v>
                </c:pt>
                <c:pt idx="12">
                  <c:v>8.47416516334276</c:v>
                </c:pt>
                <c:pt idx="13">
                  <c:v>8.27460877001593</c:v>
                </c:pt>
                <c:pt idx="14">
                  <c:v>8.07507323462474</c:v>
                </c:pt>
                <c:pt idx="15">
                  <c:v>7.87555953549551</c:v>
                </c:pt>
                <c:pt idx="16">
                  <c:v>7.67606869661236</c:v>
                </c:pt>
                <c:pt idx="17">
                  <c:v>7.47660178972538</c:v>
                </c:pt>
                <c:pt idx="18">
                  <c:v>7.27715993655482</c:v>
                </c:pt>
                <c:pt idx="19">
                  <c:v>7.07774431109408</c:v>
                </c:pt>
                <c:pt idx="20">
                  <c:v>6.87835614201675</c:v>
                </c:pt>
                <c:pt idx="21">
                  <c:v>6.67899671519144</c:v>
                </c:pt>
                <c:pt idx="22">
                  <c:v>6.47966737630922</c:v>
                </c:pt>
                <c:pt idx="23">
                  <c:v>6.28036953362826</c:v>
                </c:pt>
                <c:pt idx="24">
                  <c:v>6.08110466084122</c:v>
                </c:pt>
                <c:pt idx="25">
                  <c:v>5.88187430006915</c:v>
                </c:pt>
                <c:pt idx="26">
                  <c:v>5.68268006498886</c:v>
                </c:pt>
                <c:pt idx="27">
                  <c:v>5.48352364409786</c:v>
                </c:pt>
                <c:pt idx="28">
                  <c:v>5.28440680412286</c:v>
                </c:pt>
                <c:pt idx="29">
                  <c:v>5.08533139357803</c:v>
                </c:pt>
                <c:pt idx="30">
                  <c:v>4.88629934647871</c:v>
                </c:pt>
                <c:pt idx="31">
                  <c:v>4.68731268621661</c:v>
                </c:pt>
                <c:pt idx="32">
                  <c:v>4.48837352960314</c:v>
                </c:pt>
                <c:pt idx="33">
                  <c:v>4.28948409108699</c:v>
                </c:pt>
                <c:pt idx="34">
                  <c:v>4.09064668715356</c:v>
                </c:pt>
                <c:pt idx="35">
                  <c:v>3.89186374091207</c:v>
                </c:pt>
                <c:pt idx="36">
                  <c:v>3.69313778687791</c:v>
                </c:pt>
                <c:pt idx="37">
                  <c:v>3.49447147595787</c:v>
                </c:pt>
                <c:pt idx="38">
                  <c:v>3.29586758064476</c:v>
                </c:pt>
                <c:pt idx="39">
                  <c:v>3.09732900043009</c:v>
                </c:pt>
                <c:pt idx="40">
                  <c:v>2.89885876744111</c:v>
                </c:pt>
                <c:pt idx="41">
                  <c:v>2.70046005231172</c:v>
                </c:pt>
                <c:pt idx="42">
                  <c:v>2.50213617029338</c:v>
                </c:pt>
                <c:pt idx="43">
                  <c:v>2.30389058761622</c:v>
                </c:pt>
                <c:pt idx="44">
                  <c:v>2.10572692810558</c:v>
                </c:pt>
                <c:pt idx="45">
                  <c:v>1.90764898006562</c:v>
                </c:pt>
                <c:pt idx="46">
                  <c:v>1.70966070343544</c:v>
                </c:pt>
                <c:pt idx="47">
                  <c:v>1.51176623722684</c:v>
                </c:pt>
                <c:pt idx="48">
                  <c:v>1.31396990725274</c:v>
                </c:pt>
                <c:pt idx="49">
                  <c:v>1.11627623415314</c:v>
                </c:pt>
                <c:pt idx="50">
                  <c:v>0.918689941727282</c:v>
                </c:pt>
                <c:pt idx="51">
                  <c:v>0.721215965580231</c:v>
                </c:pt>
                <c:pt idx="52">
                  <c:v>0.523859462090194</c:v>
                </c:pt>
                <c:pt idx="53">
                  <c:v>0.32662581770636</c:v>
                </c:pt>
                <c:pt idx="54">
                  <c:v>0.129520658581453</c:v>
                </c:pt>
                <c:pt idx="55">
                  <c:v>-0.0674501394518675</c:v>
                </c:pt>
                <c:pt idx="56">
                  <c:v>-0.264280440555474</c:v>
                </c:pt>
                <c:pt idx="57">
                  <c:v>-0.460963838205909</c:v>
                </c:pt>
                <c:pt idx="58">
                  <c:v>-0.657493644153988</c:v>
                </c:pt>
                <c:pt idx="59">
                  <c:v>-0.853862877020477</c:v>
                </c:pt>
                <c:pt idx="60">
                  <c:v>-1.05006425052402</c:v>
                </c:pt>
                <c:pt idx="61">
                  <c:v>-1.24609016133879</c:v>
                </c:pt>
                <c:pt idx="62">
                  <c:v>-1.44193267658044</c:v>
                </c:pt>
                <c:pt idx="63">
                  <c:v>-1.63758352092044</c:v>
                </c:pt>
                <c:pt idx="64">
                  <c:v>-1.83303406332963</c:v>
                </c:pt>
                <c:pt idx="65">
                  <c:v>-2.02827530345403</c:v>
                </c:pt>
                <c:pt idx="66">
                  <c:v>-2.22329785762744</c:v>
                </c:pt>
                <c:pt idx="67">
                  <c:v>-2.41809194452688</c:v>
                </c:pt>
                <c:pt idx="68">
                  <c:v>-2.61264737047977</c:v>
                </c:pt>
                <c:pt idx="69">
                  <c:v>-2.80695351443364</c:v>
                </c:pt>
                <c:pt idx="70">
                  <c:v>-3.00099931260156</c:v>
                </c:pt>
                <c:pt idx="71">
                  <c:v>-3.1947732427994</c:v>
                </c:pt>
                <c:pt idx="72">
                  <c:v>-3.38826330849486</c:v>
                </c:pt>
                <c:pt idx="73">
                  <c:v>-3.58145702258974</c:v>
                </c:pt>
                <c:pt idx="74">
                  <c:v>-3.7743413909629</c:v>
                </c:pt>
                <c:pt idx="75">
                  <c:v>-3.96690289580249</c:v>
                </c:pt>
                <c:pt idx="76">
                  <c:v>-4.15912747876305</c:v>
                </c:pt>
                <c:pt idx="77">
                  <c:v>-4.35100052398554</c:v>
                </c:pt>
                <c:pt idx="78">
                  <c:v>-4.54250684102382</c:v>
                </c:pt>
                <c:pt idx="79">
                  <c:v>-4.73363064772695</c:v>
                </c:pt>
                <c:pt idx="80">
                  <c:v>-4.92435555313068</c:v>
                </c:pt>
                <c:pt idx="81">
                  <c:v>-5.11466454041977</c:v>
                </c:pt>
                <c:pt idx="82">
                  <c:v>-5.30453995002521</c:v>
                </c:pt>
                <c:pt idx="83">
                  <c:v>-5.49396346293195</c:v>
                </c:pt>
                <c:pt idx="84">
                  <c:v>-5.68291608427412</c:v>
                </c:pt>
                <c:pt idx="85">
                  <c:v>-5.87137812730688</c:v>
                </c:pt>
                <c:pt idx="86">
                  <c:v>-6.05932919784786</c:v>
                </c:pt>
                <c:pt idx="87">
                  <c:v>-6.24674817929092</c:v>
                </c:pt>
                <c:pt idx="88">
                  <c:v>-6.4336132183019</c:v>
                </c:pt>
                <c:pt idx="89">
                  <c:v>-6.61990171131518</c:v>
                </c:pt>
                <c:pt idx="90">
                  <c:v>-6.80559029195679</c:v>
                </c:pt>
                <c:pt idx="91">
                  <c:v>-6.99065481953013</c:v>
                </c:pt>
                <c:pt idx="92">
                  <c:v>-7.17507036870648</c:v>
                </c:pt>
                <c:pt idx="93">
                  <c:v>-7.3588112205735</c:v>
                </c:pt>
                <c:pt idx="94">
                  <c:v>-7.54185085520059</c:v>
                </c:pt>
                <c:pt idx="95">
                  <c:v>-7.72416194589023</c:v>
                </c:pt>
                <c:pt idx="96">
                  <c:v>-7.90571635529022</c:v>
                </c:pt>
                <c:pt idx="97">
                  <c:v>-8.0864851335504</c:v>
                </c:pt>
                <c:pt idx="98">
                  <c:v>-8.26643851871293</c:v>
                </c:pt>
                <c:pt idx="99">
                  <c:v>-8.44554593953123</c:v>
                </c:pt>
                <c:pt idx="100">
                  <c:v>-8.62377602091881</c:v>
                </c:pt>
                <c:pt idx="101">
                  <c:v>-8.80109659222966</c:v>
                </c:pt>
                <c:pt idx="102">
                  <c:v>-8.9774746985782</c:v>
                </c:pt>
                <c:pt idx="103">
                  <c:v>-9.15287661540502</c:v>
                </c:pt>
                <c:pt idx="104">
                  <c:v>-9.32726786649455</c:v>
                </c:pt>
                <c:pt idx="105">
                  <c:v>-9.50061324564847</c:v>
                </c:pt>
                <c:pt idx="106">
                  <c:v>-9.67287684221242</c:v>
                </c:pt>
                <c:pt idx="107">
                  <c:v>-9.84402207064838</c:v>
                </c:pt>
                <c:pt idx="108">
                  <c:v>-10.0140117043338</c:v>
                </c:pt>
                <c:pt idx="109">
                  <c:v>-10.1828079137552</c:v>
                </c:pt>
                <c:pt idx="110">
                  <c:v>-10.3503723092508</c:v>
                </c:pt>
                <c:pt idx="111">
                  <c:v>-10.5166659884372</c:v>
                </c:pt>
                <c:pt idx="112">
                  <c:v>-10.6816495884299</c:v>
                </c:pt>
                <c:pt idx="113">
                  <c:v>-10.8452833429496</c:v>
                </c:pt>
                <c:pt idx="114">
                  <c:v>-11.0075271443683</c:v>
                </c:pt>
                <c:pt idx="115">
                  <c:v>-11.1683406107266</c:v>
                </c:pt>
                <c:pt idx="116">
                  <c:v>-11.3276831577093</c:v>
                </c:pt>
                <c:pt idx="117">
                  <c:v>-11.4855140755348</c:v>
                </c:pt>
                <c:pt idx="118">
                  <c:v>-11.6417926106669</c:v>
                </c:pt>
                <c:pt idx="119">
                  <c:v>-11.7964780522167</c:v>
                </c:pt>
                <c:pt idx="120">
                  <c:v>-11.9495298228499</c:v>
                </c:pt>
                <c:pt idx="121">
                  <c:v>-12.1009075739729</c:v>
                </c:pt>
                <c:pt idx="122">
                  <c:v>-12.2505712849097</c:v>
                </c:pt>
                <c:pt idx="123">
                  <c:v>-12.3984813657396</c:v>
                </c:pt>
                <c:pt idx="124">
                  <c:v>-12.5445987634037</c:v>
                </c:pt>
                <c:pt idx="125">
                  <c:v>-12.6888850706422</c:v>
                </c:pt>
                <c:pt idx="126">
                  <c:v>-12.8313026372681</c:v>
                </c:pt>
                <c:pt idx="127">
                  <c:v>-12.9718146832337</c:v>
                </c:pt>
                <c:pt idx="128">
                  <c:v>-13.110385412902</c:v>
                </c:pt>
                <c:pt idx="129">
                  <c:v>-13.2469801298847</c:v>
                </c:pt>
                <c:pt idx="130">
                  <c:v>-13.3815653517756</c:v>
                </c:pt>
                <c:pt idx="131">
                  <c:v>-13.5141089240691</c:v>
                </c:pt>
                <c:pt idx="132">
                  <c:v>-13.6445801325287</c:v>
                </c:pt>
                <c:pt idx="133">
                  <c:v>-13.7729498132455</c:v>
                </c:pt>
                <c:pt idx="134">
                  <c:v>-13.8991904596184</c:v>
                </c:pt>
                <c:pt idx="135">
                  <c:v>-14.0232763254786</c:v>
                </c:pt>
                <c:pt idx="136">
                  <c:v>-14.1451835235862</c:v>
                </c:pt>
                <c:pt idx="137">
                  <c:v>-14.2648901187422</c:v>
                </c:pt>
                <c:pt idx="138">
                  <c:v>-14.3823762147777</c:v>
                </c:pt>
                <c:pt idx="139">
                  <c:v>-14.4976240347198</c:v>
                </c:pt>
                <c:pt idx="140">
                  <c:v>-14.6106179934707</c:v>
                </c:pt>
                <c:pt idx="141">
                  <c:v>-14.7213447623915</c:v>
                </c:pt>
                <c:pt idx="142">
                  <c:v>-14.8297933252396</c:v>
                </c:pt>
                <c:pt idx="143">
                  <c:v>-14.9359550249773</c:v>
                </c:pt>
                <c:pt idx="144">
                  <c:v>-15.039823601044</c:v>
                </c:pt>
                <c:pt idx="145">
                  <c:v>-15.1413952167656</c:v>
                </c:pt>
                <c:pt idx="146">
                  <c:v>-15.240668476659</c:v>
                </c:pt>
                <c:pt idx="147">
                  <c:v>-15.3376444334835</c:v>
                </c:pt>
                <c:pt idx="148">
                  <c:v>-15.4323265849761</c:v>
                </c:pt>
                <c:pt idx="149">
                  <c:v>-15.5247208603077</c:v>
                </c:pt>
                <c:pt idx="150">
                  <c:v>-15.6148355963847</c:v>
                </c:pt>
                <c:pt idx="151">
                  <c:v>-15.7026815042127</c:v>
                </c:pt>
                <c:pt idx="152">
                  <c:v>-15.7882716256263</c:v>
                </c:pt>
                <c:pt idx="153">
                  <c:v>-15.8716212807718</c:v>
                </c:pt>
                <c:pt idx="154">
                  <c:v>-15.9527480068042</c:v>
                </c:pt>
                <c:pt idx="155">
                  <c:v>-16.0316714883337</c:v>
                </c:pt>
                <c:pt idx="156">
                  <c:v>-16.1084134802154</c:v>
                </c:pt>
                <c:pt idx="157">
                  <c:v>-16.1829977233315</c:v>
                </c:pt>
                <c:pt idx="158">
                  <c:v>-16.2554498540607</c:v>
                </c:pt>
                <c:pt idx="159">
                  <c:v>-16.3257973081612</c:v>
                </c:pt>
                <c:pt idx="160">
                  <c:v>-16.3940692198262</c:v>
                </c:pt>
                <c:pt idx="161">
                  <c:v>-16.4602963166774</c:v>
                </c:pt>
                <c:pt idx="162">
                  <c:v>-16.5245108114788</c:v>
                </c:pt>
                <c:pt idx="163">
                  <c:v>-16.5867462913434</c:v>
                </c:pt>
                <c:pt idx="164">
                  <c:v>-16.6470376051979</c:v>
                </c:pt>
                <c:pt idx="165">
                  <c:v>-16.7054207502508</c:v>
                </c:pt>
                <c:pt idx="166">
                  <c:v>-16.7619327581836</c:v>
                </c:pt>
                <c:pt idx="167">
                  <c:v>-16.8166115817527</c:v>
                </c:pt>
                <c:pt idx="168">
                  <c:v>-16.8694959824486</c:v>
                </c:pt>
                <c:pt idx="169">
                  <c:v>-16.9206254198219</c:v>
                </c:pt>
                <c:pt idx="170">
                  <c:v>-16.9700399430328</c:v>
                </c:pt>
                <c:pt idx="171">
                  <c:v>-17.0177800851363</c:v>
                </c:pt>
                <c:pt idx="172">
                  <c:v>-17.0638867605599</c:v>
                </c:pt>
                <c:pt idx="173">
                  <c:v>-17.1084011661817</c:v>
                </c:pt>
                <c:pt idx="174">
                  <c:v>-17.1513646863612</c:v>
                </c:pt>
                <c:pt idx="175">
                  <c:v>-17.1928188022232</c:v>
                </c:pt>
                <c:pt idx="176">
                  <c:v>-17.2328050054444</c:v>
                </c:pt>
                <c:pt idx="177">
                  <c:v>-17.2713647167405</c:v>
                </c:pt>
                <c:pt idx="178">
                  <c:v>-17.3085392092057</c:v>
                </c:pt>
                <c:pt idx="179">
                  <c:v>-17.3443695366102</c:v>
                </c:pt>
                <c:pt idx="180">
                  <c:v>-17.3788964667167</c:v>
                </c:pt>
                <c:pt idx="181">
                  <c:v>-17.4121604196412</c:v>
                </c:pt>
                <c:pt idx="182">
                  <c:v>-17.4442014112436</c:v>
                </c:pt>
                <c:pt idx="183">
                  <c:v>-17.475059001503</c:v>
                </c:pt>
                <c:pt idx="184">
                  <c:v>-17.5047722477997</c:v>
                </c:pt>
                <c:pt idx="185">
                  <c:v>-17.5333796630065</c:v>
                </c:pt>
                <c:pt idx="186">
                  <c:v>-17.5609191782594</c:v>
                </c:pt>
                <c:pt idx="187">
                  <c:v>-17.5874281102691</c:v>
                </c:pt>
                <c:pt idx="188">
                  <c:v>-17.612943133009</c:v>
                </c:pt>
                <c:pt idx="189">
                  <c:v>-17.637500253608</c:v>
                </c:pt>
                <c:pt idx="190">
                  <c:v>-17.6611347922652</c:v>
                </c:pt>
                <c:pt idx="191">
                  <c:v>-17.6838813659926</c:v>
                </c:pt>
                <c:pt idx="192">
                  <c:v>-17.7057738759898</c:v>
                </c:pt>
                <c:pt idx="193">
                  <c:v>-17.7268454984506</c:v>
                </c:pt>
                <c:pt idx="194">
                  <c:v>-17.7471286785988</c:v>
                </c:pt>
                <c:pt idx="195">
                  <c:v>-17.7666551277542</c:v>
                </c:pt>
                <c:pt idx="196">
                  <c:v>-17.7854558232272</c:v>
                </c:pt>
                <c:pt idx="197">
                  <c:v>-17.803561010849</c:v>
                </c:pt>
                <c:pt idx="198">
                  <c:v>-17.8210002099461</c:v>
                </c:pt>
                <c:pt idx="199">
                  <c:v>-17.8378022205724</c:v>
                </c:pt>
                <c:pt idx="200">
                  <c:v>-17.8539951328243</c:v>
                </c:pt>
                <c:pt idx="201">
                  <c:v>-17.8696063380632</c:v>
                </c:pt>
                <c:pt idx="202">
                  <c:v>-17.8846625418841</c:v>
                </c:pt>
                <c:pt idx="203">
                  <c:v>-17.8991897786752</c:v>
                </c:pt>
                <c:pt idx="204">
                  <c:v>-17.9132134276208</c:v>
                </c:pt>
                <c:pt idx="205">
                  <c:v>-17.9267582300072</c:v>
                </c:pt>
                <c:pt idx="206">
                  <c:v>-17.9398483077057</c:v>
                </c:pt>
                <c:pt idx="207">
                  <c:v>-17.9525071827061</c:v>
                </c:pt>
                <c:pt idx="208">
                  <c:v>-17.9647577975932</c:v>
                </c:pt>
                <c:pt idx="209">
                  <c:v>-17.9766225368567</c:v>
                </c:pt>
                <c:pt idx="210">
                  <c:v>-17.9881232489425</c:v>
                </c:pt>
                <c:pt idx="211">
                  <c:v>-17.9992812689534</c:v>
                </c:pt>
                <c:pt idx="212">
                  <c:v>-18.0101174419211</c:v>
                </c:pt>
                <c:pt idx="213">
                  <c:v>-18.0206521465736</c:v>
                </c:pt>
                <c:pt idx="214">
                  <c:v>-18.0309053195337</c:v>
                </c:pt>
                <c:pt idx="215">
                  <c:v>-18.0408964798867</c:v>
                </c:pt>
                <c:pt idx="216">
                  <c:v>-18.0506447540649</c:v>
                </c:pt>
                <c:pt idx="217">
                  <c:v>-18.0601689010007</c:v>
                </c:pt>
                <c:pt idx="218">
                  <c:v>-18.069487337506</c:v>
                </c:pt>
                <c:pt idx="219">
                  <c:v>-18.0786181638404</c:v>
                </c:pt>
                <c:pt idx="220">
                  <c:v>-18.0875791894371</c:v>
                </c:pt>
                <c:pt idx="221">
                  <c:v>-18.096387958756</c:v>
                </c:pt>
                <c:pt idx="222">
                  <c:v>-18.105061777243</c:v>
                </c:pt>
                <c:pt idx="223">
                  <c:v>-18.1136177373713</c:v>
                </c:pt>
                <c:pt idx="224">
                  <c:v>-18.1220727447517</c:v>
                </c:pt>
                <c:pt idx="225">
                  <c:v>-18.1304435442932</c:v>
                </c:pt>
                <c:pt idx="226">
                  <c:v>-18.1387467464041</c:v>
                </c:pt>
                <c:pt idx="227">
                  <c:v>-18.146998853225</c:v>
                </c:pt>
                <c:pt idx="228">
                  <c:v>-18.1552162848815</c:v>
                </c:pt>
                <c:pt idx="229">
                  <c:v>-18.1634154057547</c:v>
                </c:pt>
                <c:pt idx="230">
                  <c:v>-18.1716125507607</c:v>
                </c:pt>
                <c:pt idx="231">
                  <c:v>-18.1798240516342</c:v>
                </c:pt>
                <c:pt idx="232">
                  <c:v>-18.1880662632151</c:v>
                </c:pt>
                <c:pt idx="233">
                  <c:v>-18.1963555897284</c:v>
                </c:pt>
                <c:pt idx="234">
                  <c:v>-18.2047085110574</c:v>
                </c:pt>
                <c:pt idx="235">
                  <c:v>-18.2131416090016</c:v>
                </c:pt>
                <c:pt idx="236">
                  <c:v>-18.2216715935151</c:v>
                </c:pt>
                <c:pt idx="237">
                  <c:v>-18.2303153289158</c:v>
                </c:pt>
                <c:pt idx="238">
                  <c:v>-18.2390898600578</c:v>
                </c:pt>
                <c:pt idx="239">
                  <c:v>-18.2480124384536</c:v>
                </c:pt>
                <c:pt idx="240">
                  <c:v>-18.2571005483353</c:v>
                </c:pt>
                <c:pt idx="241">
                  <c:v>-18.2663719326341</c:v>
                </c:pt>
                <c:pt idx="242">
                  <c:v>-18.275844618862</c:v>
                </c:pt>
                <c:pt idx="243">
                  <c:v>-18.2855369448703</c:v>
                </c:pt>
                <c:pt idx="244">
                  <c:v>-18.2954675844595</c:v>
                </c:pt>
                <c:pt idx="245">
                  <c:v>-18.3056555728069</c:v>
                </c:pt>
                <c:pt idx="246">
                  <c:v>-18.3161203316784</c:v>
                </c:pt>
                <c:pt idx="247">
                  <c:v>-18.3268816943826</c:v>
                </c:pt>
                <c:pt idx="248">
                  <c:v>-18.337959930419</c:v>
                </c:pt>
                <c:pt idx="249">
                  <c:v>-18.349375769772</c:v>
                </c:pt>
                <c:pt idx="250">
                  <c:v>-18.3611504267875</c:v>
                </c:pt>
                <c:pt idx="251">
                  <c:v>-18.3733056235725</c:v>
                </c:pt>
                <c:pt idx="252">
                  <c:v>-18.3858636128402</c:v>
                </c:pt>
                <c:pt idx="253">
                  <c:v>-18.3988472001263</c:v>
                </c:pt>
                <c:pt idx="254">
                  <c:v>-18.4122797652879</c:v>
                </c:pt>
                <c:pt idx="255">
                  <c:v>-18.4261852831892</c:v>
                </c:pt>
                <c:pt idx="256">
                  <c:v>-18.4405883434754</c:v>
                </c:pt>
                <c:pt idx="257">
                  <c:v>-18.4555141693187</c:v>
                </c:pt>
                <c:pt idx="258">
                  <c:v>-18.4709886350221</c:v>
                </c:pt>
                <c:pt idx="259">
                  <c:v>-18.4870382823494</c:v>
                </c:pt>
                <c:pt idx="260">
                  <c:v>-18.5036903354473</c:v>
                </c:pt>
                <c:pt idx="261">
                  <c:v>-18.5209727142128</c:v>
                </c:pt>
                <c:pt idx="262">
                  <c:v>-18.5389140459538</c:v>
                </c:pt>
                <c:pt idx="263">
                  <c:v>-18.5575436751803</c:v>
                </c:pt>
                <c:pt idx="264">
                  <c:v>-18.5768916713571</c:v>
                </c:pt>
                <c:pt idx="265">
                  <c:v>-18.5969888344414</c:v>
                </c:pt>
                <c:pt idx="266">
                  <c:v>-18.6178666980217</c:v>
                </c:pt>
                <c:pt idx="267">
                  <c:v>-18.6395575298685</c:v>
                </c:pt>
                <c:pt idx="268">
                  <c:v>-18.662094329702</c:v>
                </c:pt>
                <c:pt idx="269">
                  <c:v>-18.6855108239807</c:v>
                </c:pt>
                <c:pt idx="270">
                  <c:v>-18.7098414575071</c:v>
                </c:pt>
                <c:pt idx="271">
                  <c:v>-18.7351213816517</c:v>
                </c:pt>
                <c:pt idx="272">
                  <c:v>-18.7613864389938</c:v>
                </c:pt>
                <c:pt idx="273">
                  <c:v>-18.7886731441788</c:v>
                </c:pt>
                <c:pt idx="274">
                  <c:v>-18.8170186608026</c:v>
                </c:pt>
                <c:pt idx="275">
                  <c:v>-18.8464607741338</c:v>
                </c:pt>
                <c:pt idx="276">
                  <c:v>-18.8770378594985</c:v>
                </c:pt>
                <c:pt idx="277">
                  <c:v>-18.9087888461652</c:v>
                </c:pt>
                <c:pt idx="278">
                  <c:v>-18.9417531765793</c:v>
                </c:pt>
                <c:pt idx="279">
                  <c:v>-18.9759707608204</c:v>
                </c:pt>
                <c:pt idx="280">
                  <c:v>-19.0114819261726</c:v>
                </c:pt>
                <c:pt idx="281">
                  <c:v>-19.0483273617267</c:v>
                </c:pt>
                <c:pt idx="282">
                  <c:v>-19.0865480579609</c:v>
                </c:pt>
                <c:pt idx="283">
                  <c:v>-19.1261852412777</c:v>
                </c:pt>
                <c:pt idx="284">
                  <c:v>-19.1672803035116</c:v>
                </c:pt>
                <c:pt idx="285">
                  <c:v>-19.2098747264602</c:v>
                </c:pt>
                <c:pt idx="286">
                  <c:v>-19.2540100015338</c:v>
                </c:pt>
                <c:pt idx="287">
                  <c:v>-19.2997275446637</c:v>
                </c:pt>
                <c:pt idx="288">
                  <c:v>-19.3470686066539</c:v>
                </c:pt>
                <c:pt idx="289">
                  <c:v>-19.3960741792164</c:v>
                </c:pt>
                <c:pt idx="290">
                  <c:v>-19.4467848969752</c:v>
                </c:pt>
                <c:pt idx="291">
                  <c:v>-19.4992409357799</c:v>
                </c:pt>
                <c:pt idx="292">
                  <c:v>-19.553481907724</c:v>
                </c:pt>
                <c:pt idx="293">
                  <c:v>-19.6095467533112</c:v>
                </c:pt>
                <c:pt idx="294">
                  <c:v>-19.6674736312697</c:v>
                </c:pt>
                <c:pt idx="295">
                  <c:v>-19.7272998065616</c:v>
                </c:pt>
                <c:pt idx="296">
                  <c:v>-19.7890615371824</c:v>
                </c:pt>
                <c:pt idx="297">
                  <c:v>-19.8527939603898</c:v>
                </c:pt>
                <c:pt idx="298">
                  <c:v>-19.91853097904</c:v>
                </c:pt>
                <c:pt idx="299">
                  <c:v>-19.986305148744</c:v>
                </c:pt>
                <c:pt idx="300">
                  <c:v>-20.0561475665828</c:v>
                </c:pt>
                <c:pt idx="301">
                  <c:v>-20.1280877621435</c:v>
                </c:pt>
                <c:pt idx="302">
                  <c:v>-20.2021535916486</c:v>
                </c:pt>
                <c:pt idx="303">
                  <c:v>-20.2783711359562</c:v>
                </c:pt>
                <c:pt idx="304">
                  <c:v>-20.3567646032053</c:v>
                </c:pt>
                <c:pt idx="305">
                  <c:v>-20.4373562368656</c:v>
                </c:pt>
                <c:pt idx="306">
                  <c:v>-20.5201662299258</c:v>
                </c:pt>
                <c:pt idx="307">
                  <c:v>-20.6052126459269</c:v>
                </c:pt>
                <c:pt idx="308">
                  <c:v>-20.6925113474986</c:v>
                </c:pt>
                <c:pt idx="309">
                  <c:v>-20.7820759330084</c:v>
                </c:pt>
                <c:pt idx="310">
                  <c:v>-20.8739176818725</c:v>
                </c:pt>
                <c:pt idx="311">
                  <c:v>-20.9680455090092</c:v>
                </c:pt>
                <c:pt idx="312">
                  <c:v>-21.0644659288406</c:v>
                </c:pt>
                <c:pt idx="313">
                  <c:v>-21.1631830291654</c:v>
                </c:pt>
                <c:pt idx="314">
                  <c:v>-21.2641984551425</c:v>
                </c:pt>
                <c:pt idx="315">
                  <c:v>-21.3675114035325</c:v>
                </c:pt>
                <c:pt idx="316">
                  <c:v>-21.4731186272539</c:v>
                </c:pt>
                <c:pt idx="317">
                  <c:v>-21.5810144502169</c:v>
                </c:pt>
                <c:pt idx="318">
                  <c:v>-21.6911907923062</c:v>
                </c:pt>
                <c:pt idx="319">
                  <c:v>-21.8036372042923</c:v>
                </c:pt>
                <c:pt idx="320">
                  <c:v>-21.9183409123677</c:v>
                </c:pt>
                <c:pt idx="321">
                  <c:v>-22.035286871916</c:v>
                </c:pt>
                <c:pt idx="322">
                  <c:v>-22.1544578300512</c:v>
                </c:pt>
                <c:pt idx="323">
                  <c:v>-22.2758343963916</c:v>
                </c:pt>
                <c:pt idx="324">
                  <c:v>-22.3993951214722</c:v>
                </c:pt>
                <c:pt idx="325">
                  <c:v>-22.5251165821468</c:v>
                </c:pt>
                <c:pt idx="326">
                  <c:v>-22.6529734732835</c:v>
                </c:pt>
                <c:pt idx="327">
                  <c:v>-22.7829387050274</c:v>
                </c:pt>
                <c:pt idx="328">
                  <c:v>-22.9149835048756</c:v>
                </c:pt>
                <c:pt idx="329">
                  <c:v>-23.0490775237954</c:v>
                </c:pt>
                <c:pt idx="330">
                  <c:v>-23.1851889456094</c:v>
                </c:pt>
                <c:pt idx="331">
                  <c:v>-23.3232845988738</c:v>
                </c:pt>
                <c:pt idx="332">
                  <c:v>-23.4633300704917</c:v>
                </c:pt>
                <c:pt idx="333">
                  <c:v>-23.6052898203143</c:v>
                </c:pt>
                <c:pt idx="334">
                  <c:v>-23.7491272960178</c:v>
                </c:pt>
                <c:pt idx="335">
                  <c:v>-23.8948050475709</c:v>
                </c:pt>
                <c:pt idx="336">
                  <c:v>-24.0422848406493</c:v>
                </c:pt>
                <c:pt idx="337">
                  <c:v>-24.191527768395</c:v>
                </c:pt>
                <c:pt idx="338">
                  <c:v>-24.3424943609654</c:v>
                </c:pt>
                <c:pt idx="339">
                  <c:v>-24.4951446923685</c:v>
                </c:pt>
                <c:pt idx="340">
                  <c:v>-24.6494384841282</c:v>
                </c:pt>
                <c:pt idx="341">
                  <c:v>-24.8053352053806</c:v>
                </c:pt>
                <c:pt idx="342">
                  <c:v>-24.9627941690538</c:v>
                </c:pt>
                <c:pt idx="343">
                  <c:v>-25.121774623833</c:v>
                </c:pt>
                <c:pt idx="344">
                  <c:v>-25.2822358416725</c:v>
                </c:pt>
                <c:pt idx="345">
                  <c:v>-25.4441372006556</c:v>
                </c:pt>
                <c:pt idx="346">
                  <c:v>-25.6074382630614</c:v>
                </c:pt>
                <c:pt idx="347">
                  <c:v>-25.7720988485356</c:v>
                </c:pt>
                <c:pt idx="348">
                  <c:v>-25.9380791023094</c:v>
                </c:pt>
                <c:pt idx="349">
                  <c:v>-26.1053395584484</c:v>
                </c:pt>
                <c:pt idx="350">
                  <c:v>-26.2738411981493</c:v>
                </c:pt>
                <c:pt idx="351">
                  <c:v>-26.4435455031362</c:v>
                </c:pt>
                <c:pt idx="352">
                  <c:v>-26.6144145042384</c:v>
                </c:pt>
                <c:pt idx="353">
                  <c:v>-26.7864108252538</c:v>
                </c:pt>
                <c:pt idx="354">
                  <c:v>-26.9594977222318</c:v>
                </c:pt>
                <c:pt idx="355">
                  <c:v>-27.1336391183195</c:v>
                </c:pt>
                <c:pt idx="356">
                  <c:v>-27.3087996343413</c:v>
                </c:pt>
                <c:pt idx="357">
                  <c:v>-27.4849446152876</c:v>
                </c:pt>
                <c:pt idx="358">
                  <c:v>-27.662040152903</c:v>
                </c:pt>
                <c:pt idx="359">
                  <c:v>-27.8400531045694</c:v>
                </c:pt>
                <c:pt idx="360">
                  <c:v>-28.0189511086891</c:v>
                </c:pt>
                <c:pt idx="361">
                  <c:v>-28.1987025967708</c:v>
                </c:pt>
                <c:pt idx="362">
                  <c:v>-28.3792768024269</c:v>
                </c:pt>
                <c:pt idx="363">
                  <c:v>-28.5606437674887</c:v>
                </c:pt>
                <c:pt idx="364">
                  <c:v>-28.7427743454432</c:v>
                </c:pt>
                <c:pt idx="365">
                  <c:v>-28.9256402023932</c:v>
                </c:pt>
                <c:pt idx="366">
                  <c:v>-29.1092138157365</c:v>
                </c:pt>
                <c:pt idx="367">
                  <c:v>-29.2934684707569</c:v>
                </c:pt>
                <c:pt idx="368">
                  <c:v>-29.4783782553083</c:v>
                </c:pt>
                <c:pt idx="369">
                  <c:v>-29.6639180527731</c:v>
                </c:pt>
                <c:pt idx="370">
                  <c:v>-29.8500635334626</c:v>
                </c:pt>
                <c:pt idx="371">
                  <c:v>-30.036791144622</c:v>
                </c:pt>
                <c:pt idx="372">
                  <c:v>-30.2240780991939</c:v>
                </c:pt>
                <c:pt idx="373">
                  <c:v>-30.4119023634863</c:v>
                </c:pt>
                <c:pt idx="374">
                  <c:v>-30.6002426438813</c:v>
                </c:pt>
                <c:pt idx="375">
                  <c:v>-30.7890783727132</c:v>
                </c:pt>
                <c:pt idx="376">
                  <c:v>-30.9783896934375</c:v>
                </c:pt>
                <c:pt idx="377">
                  <c:v>-31.1681574452008</c:v>
                </c:pt>
                <c:pt idx="378">
                  <c:v>-31.3583631469171</c:v>
                </c:pt>
                <c:pt idx="379">
                  <c:v>-31.5489889809466</c:v>
                </c:pt>
                <c:pt idx="380">
                  <c:v>-31.7400177764648</c:v>
                </c:pt>
                <c:pt idx="381">
                  <c:v>-31.9314329926042</c:v>
                </c:pt>
                <c:pt idx="382">
                  <c:v>-32.1232187014424</c:v>
                </c:pt>
                <c:pt idx="383">
                  <c:v>-32.3153595709057</c:v>
                </c:pt>
                <c:pt idx="384">
                  <c:v>-32.5078408476477</c:v>
                </c:pt>
                <c:pt idx="385">
                  <c:v>-32.7006483399608</c:v>
                </c:pt>
                <c:pt idx="386">
                  <c:v>-32.8937684007696</c:v>
                </c:pt>
                <c:pt idx="387">
                  <c:v>-33.0871879107505</c:v>
                </c:pt>
                <c:pt idx="388">
                  <c:v>-33.2808942616188</c:v>
                </c:pt>
                <c:pt idx="389">
                  <c:v>-33.4748753396175</c:v>
                </c:pt>
                <c:pt idx="390">
                  <c:v>-33.669119509239</c:v>
                </c:pt>
                <c:pt idx="391">
                  <c:v>-33.8636155972077</c:v>
                </c:pt>
                <c:pt idx="392">
                  <c:v>-34.0583528767453</c:v>
                </c:pt>
                <c:pt idx="393">
                  <c:v>-34.2533210521402</c:v>
                </c:pt>
                <c:pt idx="394">
                  <c:v>-34.4485102436373</c:v>
                </c:pt>
                <c:pt idx="395">
                  <c:v>-34.6439109726628</c:v>
                </c:pt>
                <c:pt idx="396">
                  <c:v>-34.8395141473938</c:v>
                </c:pt>
                <c:pt idx="397">
                  <c:v>-35.0353110486845</c:v>
                </c:pt>
                <c:pt idx="398">
                  <c:v>-35.2312933163532</c:v>
                </c:pt>
                <c:pt idx="399">
                  <c:v>-35.4274529358366</c:v>
                </c:pt>
                <c:pt idx="400">
                  <c:v>-35.6237822252144</c:v>
                </c:pt>
                <c:pt idx="401">
                  <c:v>-35.8202738226053</c:v>
                </c:pt>
                <c:pt idx="402">
                  <c:v>-36.0169206739344</c:v>
                </c:pt>
                <c:pt idx="403">
                  <c:v>-36.213716021072</c:v>
                </c:pt>
                <c:pt idx="404">
                  <c:v>-36.4106533903406</c:v>
                </c:pt>
                <c:pt idx="405">
                  <c:v>-36.6077265813869</c:v>
                </c:pt>
                <c:pt idx="406">
                  <c:v>-36.8049296564147</c:v>
                </c:pt>
                <c:pt idx="407">
                  <c:v>-37.0022569297743</c:v>
                </c:pt>
                <c:pt idx="408">
                  <c:v>-37.1997029579026</c:v>
                </c:pt>
                <c:pt idx="409">
                  <c:v>-37.3972625296072</c:v>
                </c:pt>
                <c:pt idx="410">
                  <c:v>-37.5949306566886</c:v>
                </c:pt>
                <c:pt idx="411">
                  <c:v>-37.7927025648938</c:v>
                </c:pt>
                <c:pt idx="412">
                  <c:v>-37.990573685192</c:v>
                </c:pt>
                <c:pt idx="413">
                  <c:v>-38.1885396453682</c:v>
                </c:pt>
                <c:pt idx="414">
                  <c:v>-38.3865962619225</c:v>
                </c:pt>
                <c:pt idx="415">
                  <c:v>-38.5847395322719</c:v>
                </c:pt>
                <c:pt idx="416">
                  <c:v>-38.7829656272417</c:v>
                </c:pt>
                <c:pt idx="417">
                  <c:v>-38.9812708838423</c:v>
                </c:pt>
                <c:pt idx="418">
                  <c:v>-39.1796517983214</c:v>
                </c:pt>
                <c:pt idx="419">
                  <c:v>-39.3781050194819</c:v>
                </c:pt>
                <c:pt idx="420">
                  <c:v>-39.5766273422608</c:v>
                </c:pt>
                <c:pt idx="421">
                  <c:v>-39.7752157015586</c:v>
                </c:pt>
                <c:pt idx="422">
                  <c:v>-39.9738671663103</c:v>
                </c:pt>
                <c:pt idx="423">
                  <c:v>-40.172578933793</c:v>
                </c:pt>
                <c:pt idx="424">
                  <c:v>-40.3713483241595</c:v>
                </c:pt>
                <c:pt idx="425">
                  <c:v>-40.5701727751915</c:v>
                </c:pt>
                <c:pt idx="426">
                  <c:v>-40.7690498372647</c:v>
                </c:pt>
                <c:pt idx="427">
                  <c:v>-40.9679771685178</c:v>
                </c:pt>
                <c:pt idx="428">
                  <c:v>-41.1669525302186</c:v>
                </c:pt>
                <c:pt idx="429">
                  <c:v>-41.3659737823201</c:v>
                </c:pt>
                <c:pt idx="430">
                  <c:v>-41.5650388791998</c:v>
                </c:pt>
                <c:pt idx="431">
                  <c:v>-41.7641458655738</c:v>
                </c:pt>
                <c:pt idx="432">
                  <c:v>-41.9632928725824</c:v>
                </c:pt>
                <c:pt idx="433">
                  <c:v>-42.1624781140378</c:v>
                </c:pt>
                <c:pt idx="434">
                  <c:v>-42.3616998828285</c:v>
                </c:pt>
                <c:pt idx="435">
                  <c:v>-42.5609565474752</c:v>
                </c:pt>
                <c:pt idx="436">
                  <c:v>-42.7602465488316</c:v>
                </c:pt>
                <c:pt idx="437">
                  <c:v>-42.959568396924</c:v>
                </c:pt>
                <c:pt idx="438">
                  <c:v>-43.1589206679266</c:v>
                </c:pt>
                <c:pt idx="439">
                  <c:v>-43.3583020012625</c:v>
                </c:pt>
                <c:pt idx="440">
                  <c:v>-43.5577110968309</c:v>
                </c:pt>
                <c:pt idx="441">
                  <c:v>-43.7571467123514</c:v>
                </c:pt>
                <c:pt idx="442">
                  <c:v>-43.956607660822</c:v>
                </c:pt>
                <c:pt idx="443">
                  <c:v>-44.1560928080872</c:v>
                </c:pt>
                <c:pt idx="444">
                  <c:v>-44.3556010705093</c:v>
                </c:pt>
                <c:pt idx="445">
                  <c:v>-44.5551314127415</c:v>
                </c:pt>
                <c:pt idx="446">
                  <c:v>-44.754682845596</c:v>
                </c:pt>
                <c:pt idx="447">
                  <c:v>-44.9542544240056</c:v>
                </c:pt>
                <c:pt idx="448">
                  <c:v>-45.1538452450722</c:v>
                </c:pt>
                <c:pt idx="449">
                  <c:v>-45.3534544462016</c:v>
                </c:pt>
                <c:pt idx="450">
                  <c:v>-45.5530812033184</c:v>
                </c:pt>
                <c:pt idx="451">
                  <c:v>-45.7527247291592</c:v>
                </c:pt>
                <c:pt idx="452">
                  <c:v>-45.9523842716398</c:v>
                </c:pt>
                <c:pt idx="453">
                  <c:v>-46.1520591122945</c:v>
                </c:pt>
                <c:pt idx="454">
                  <c:v>-46.3517485647827</c:v>
                </c:pt>
                <c:pt idx="455">
                  <c:v>-46.5514519734623</c:v>
                </c:pt>
                <c:pt idx="456">
                  <c:v>-46.7511687120244</c:v>
                </c:pt>
                <c:pt idx="457">
                  <c:v>-46.9508981821884</c:v>
                </c:pt>
                <c:pt idx="458">
                  <c:v>-47.1506398124548</c:v>
                </c:pt>
                <c:pt idx="459">
                  <c:v>-47.3503930569126</c:v>
                </c:pt>
                <c:pt idx="460">
                  <c:v>-47.5501573940993</c:v>
                </c:pt>
                <c:pt idx="461">
                  <c:v>-47.7499323259112</c:v>
                </c:pt>
                <c:pt idx="462">
                  <c:v>-47.9497173765619</c:v>
                </c:pt>
                <c:pt idx="463">
                  <c:v>-48.1495120915865</c:v>
                </c:pt>
                <c:pt idx="464">
                  <c:v>-48.3493160368903</c:v>
                </c:pt>
                <c:pt idx="465">
                  <c:v>-48.5491287978395</c:v>
                </c:pt>
                <c:pt idx="466">
                  <c:v>-48.7489499783915</c:v>
                </c:pt>
                <c:pt idx="467">
                  <c:v>-48.9487792002649</c:v>
                </c:pt>
                <c:pt idx="468">
                  <c:v>-49.1486161021454</c:v>
                </c:pt>
                <c:pt idx="469">
                  <c:v>-49.3484603389275</c:v>
                </c:pt>
                <c:pt idx="470">
                  <c:v>-49.5483115809894</c:v>
                </c:pt>
                <c:pt idx="471">
                  <c:v>-49.7481695135005</c:v>
                </c:pt>
                <c:pt idx="472">
                  <c:v>-49.9480338357598</c:v>
                </c:pt>
                <c:pt idx="473">
                  <c:v>-50.1479042605627</c:v>
                </c:pt>
                <c:pt idx="474">
                  <c:v>-50.3477805135982</c:v>
                </c:pt>
                <c:pt idx="475">
                  <c:v>-50.5476623328699</c:v>
                </c:pt>
                <c:pt idx="476">
                  <c:v>-50.7475494681457</c:v>
                </c:pt>
                <c:pt idx="477">
                  <c:v>-50.9474416804305</c:v>
                </c:pt>
                <c:pt idx="478">
                  <c:v>-51.1473387414619</c:v>
                </c:pt>
                <c:pt idx="479">
                  <c:v>-51.3472404332304</c:v>
                </c:pt>
                <c:pt idx="480">
                  <c:v>-51.5471465475191</c:v>
                </c:pt>
                <c:pt idx="481">
                  <c:v>-51.7470568854644</c:v>
                </c:pt>
                <c:pt idx="482">
                  <c:v>-51.9469712571374</c:v>
                </c:pt>
                <c:pt idx="483">
                  <c:v>-52.1468894811424</c:v>
                </c:pt>
                <c:pt idx="484">
                  <c:v>-52.3468113842349</c:v>
                </c:pt>
                <c:pt idx="485">
                  <c:v>-52.546736800955</c:v>
                </c:pt>
                <c:pt idx="486">
                  <c:v>-52.7466655732789</c:v>
                </c:pt>
                <c:pt idx="487">
                  <c:v>-52.9465975502849</c:v>
                </c:pt>
                <c:pt idx="488">
                  <c:v>-53.1465325878344</c:v>
                </c:pt>
                <c:pt idx="489">
                  <c:v>-53.3464705482679</c:v>
                </c:pt>
                <c:pt idx="490">
                  <c:v>-53.5464113001139</c:v>
                </c:pt>
                <c:pt idx="491">
                  <c:v>-53.7463547178108</c:v>
                </c:pt>
                <c:pt idx="492">
                  <c:v>-53.9463006814421</c:v>
                </c:pt>
                <c:pt idx="493">
                  <c:v>-54.1462490764824</c:v>
                </c:pt>
                <c:pt idx="494">
                  <c:v>-54.3461997935556</c:v>
                </c:pt>
                <c:pt idx="495">
                  <c:v>-54.5461527282033</c:v>
                </c:pt>
                <c:pt idx="496">
                  <c:v>-54.7461077806643</c:v>
                </c:pt>
                <c:pt idx="497">
                  <c:v>-54.9460648556631</c:v>
                </c:pt>
                <c:pt idx="498">
                  <c:v>-55.1460238622089</c:v>
                </c:pt>
                <c:pt idx="499">
                  <c:v>-55.3459847134024</c:v>
                </c:pt>
                <c:pt idx="500">
                  <c:v>-55.5459473262529</c:v>
                </c:pt>
                <c:pt idx="501">
                  <c:v>-55.7459116215014</c:v>
                </c:pt>
                <c:pt idx="502">
                  <c:v>-55.9458775234543</c:v>
                </c:pt>
                <c:pt idx="503">
                  <c:v>-56.1458449598219</c:v>
                </c:pt>
                <c:pt idx="504">
                  <c:v>-56.3458138615662</c:v>
                </c:pt>
                <c:pt idx="505">
                  <c:v>-56.5457841627546</c:v>
                </c:pt>
                <c:pt idx="506">
                  <c:v>-56.74575580042</c:v>
                </c:pt>
                <c:pt idx="507">
                  <c:v>-56.9457287144277</c:v>
                </c:pt>
                <c:pt idx="508">
                  <c:v>-57.1457028473479</c:v>
                </c:pt>
                <c:pt idx="509">
                  <c:v>-57.3456781443346</c:v>
                </c:pt>
                <c:pt idx="510">
                  <c:v>-57.5456545530088</c:v>
                </c:pt>
                <c:pt idx="511">
                  <c:v>-57.7456320233477</c:v>
                </c:pt>
                <c:pt idx="512">
                  <c:v>-57.9456105075793</c:v>
                </c:pt>
                <c:pt idx="513">
                  <c:v>-58.1455899600803</c:v>
                </c:pt>
                <c:pt idx="514">
                  <c:v>-58.3455703372804</c:v>
                </c:pt>
                <c:pt idx="515">
                  <c:v>-58.545551597569</c:v>
                </c:pt>
                <c:pt idx="516">
                  <c:v>-58.7455337012081</c:v>
                </c:pt>
                <c:pt idx="517">
                  <c:v>-58.9455166102472</c:v>
                </c:pt>
                <c:pt idx="518">
                  <c:v>-59.1455002884435</c:v>
                </c:pt>
                <c:pt idx="519">
                  <c:v>-59.3454847011844</c:v>
                </c:pt>
                <c:pt idx="520">
                  <c:v>-59.5454698154154</c:v>
                </c:pt>
                <c:pt idx="521">
                  <c:v>-59.7454555995687</c:v>
                </c:pt>
                <c:pt idx="522">
                  <c:v>-59.9454420234971</c:v>
                </c:pt>
                <c:pt idx="523">
                  <c:v>-60.1454290584097</c:v>
                </c:pt>
                <c:pt idx="524">
                  <c:v>-60.345416676811</c:v>
                </c:pt>
                <c:pt idx="525">
                  <c:v>-60.5454048524433</c:v>
                </c:pt>
                <c:pt idx="526">
                  <c:v>-60.7453935602296</c:v>
                </c:pt>
                <c:pt idx="527">
                  <c:v>-60.9453827762219</c:v>
                </c:pt>
                <c:pt idx="528">
                  <c:v>-61.1453724775494</c:v>
                </c:pt>
                <c:pt idx="529">
                  <c:v>-61.3453626423706</c:v>
                </c:pt>
                <c:pt idx="530">
                  <c:v>-61.5453532498272</c:v>
                </c:pt>
                <c:pt idx="531">
                  <c:v>-61.7453442799988</c:v>
                </c:pt>
                <c:pt idx="532">
                  <c:v>-61.9453357138618</c:v>
                </c:pt>
                <c:pt idx="533">
                  <c:v>-62.1453275332488</c:v>
                </c:pt>
                <c:pt idx="534">
                  <c:v>-62.3453197208095</c:v>
                </c:pt>
                <c:pt idx="535">
                  <c:v>-62.5453122599749</c:v>
                </c:pt>
                <c:pt idx="536">
                  <c:v>-62.7453051349211</c:v>
                </c:pt>
                <c:pt idx="537">
                  <c:v>-62.9452983305367</c:v>
                </c:pt>
                <c:pt idx="538">
                  <c:v>-63.14529183239</c:v>
                </c:pt>
                <c:pt idx="539">
                  <c:v>-63.345285626699</c:v>
                </c:pt>
                <c:pt idx="540">
                  <c:v>-63.5452797003019</c:v>
                </c:pt>
                <c:pt idx="541">
                  <c:v>-63.7452740406289</c:v>
                </c:pt>
              </c:numCache>
            </c:numRef>
          </c:yVal>
          <c:smooth val="1"/>
        </c:ser>
        <c:dLbls>
          <c:showLegendKey val="0"/>
          <c:showVal val="0"/>
          <c:showCatName val="0"/>
          <c:showSerName val="0"/>
          <c:showPercent val="0"/>
          <c:showBubbleSize val="0"/>
        </c:dLbls>
        <c:axId val="175558656"/>
        <c:axId val="175560576"/>
      </c:scatterChart>
      <c:scatterChart>
        <c:scatterStyle val="smooth"/>
        <c:varyColors val="0"/>
        <c:ser>
          <c:idx val="1"/>
          <c:order val="1"/>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Loop_Modeling!$BE$19:$BE$560</c:f>
              <c:numCache>
                <c:formatCode>General</c:formatCode>
                <c:ptCount val="542"/>
                <c:pt idx="0">
                  <c:v>91.9828963036862</c:v>
                </c:pt>
                <c:pt idx="1">
                  <c:v>92.02904322495</c:v>
                </c:pt>
                <c:pt idx="2">
                  <c:v>92.0762621407672</c:v>
                </c:pt>
                <c:pt idx="3">
                  <c:v>92.1245778136954</c:v>
                </c:pt>
                <c:pt idx="4">
                  <c:v>92.1740155683</c:v>
                </c:pt>
                <c:pt idx="5">
                  <c:v>92.2246013031928</c:v>
                </c:pt>
                <c:pt idx="6">
                  <c:v>92.276361503277</c:v>
                </c:pt>
                <c:pt idx="7">
                  <c:v>92.3293232521975</c:v>
                </c:pt>
                <c:pt idx="8">
                  <c:v>92.3835142449962</c:v>
                </c:pt>
                <c:pt idx="9">
                  <c:v>92.4389628009695</c:v>
                </c:pt>
                <c:pt idx="10">
                  <c:v>92.4956978767291</c:v>
                </c:pt>
                <c:pt idx="11">
                  <c:v>92.5537490794615</c:v>
                </c:pt>
                <c:pt idx="12">
                  <c:v>92.6131466803837</c:v>
                </c:pt>
                <c:pt idx="13">
                  <c:v>92.6739216283941</c:v>
                </c:pt>
                <c:pt idx="14">
                  <c:v>92.7361055639115</c:v>
                </c:pt>
                <c:pt idx="15">
                  <c:v>92.7997308329002</c:v>
                </c:pt>
                <c:pt idx="16">
                  <c:v>92.8648305010749</c:v>
                </c:pt>
                <c:pt idx="17">
                  <c:v>92.9314383682789</c:v>
                </c:pt>
                <c:pt idx="18">
                  <c:v>92.99958898303</c:v>
                </c:pt>
                <c:pt idx="19">
                  <c:v>93.0693176572253</c:v>
                </c:pt>
                <c:pt idx="20">
                  <c:v>93.1406604809958</c:v>
                </c:pt>
                <c:pt idx="21">
                  <c:v>93.213654337703</c:v>
                </c:pt>
                <c:pt idx="22">
                  <c:v>93.2883369190633</c:v>
                </c:pt>
                <c:pt idx="23">
                  <c:v>93.3647467403918</c:v>
                </c:pt>
                <c:pt idx="24">
                  <c:v>93.4429231559482</c:v>
                </c:pt>
                <c:pt idx="25">
                  <c:v>93.5229063743733</c:v>
                </c:pt>
                <c:pt idx="26">
                  <c:v>93.6047374741974</c:v>
                </c:pt>
                <c:pt idx="27">
                  <c:v>93.6884584194039</c:v>
                </c:pt>
                <c:pt idx="28">
                  <c:v>93.7741120750271</c:v>
                </c:pt>
                <c:pt idx="29">
                  <c:v>93.8617422227642</c:v>
                </c:pt>
                <c:pt idx="30">
                  <c:v>93.9513935765773</c:v>
                </c:pt>
                <c:pt idx="31">
                  <c:v>94.0431117982581</c:v>
                </c:pt>
                <c:pt idx="32">
                  <c:v>94.1369435129307</c:v>
                </c:pt>
                <c:pt idx="33">
                  <c:v>94.2329363244587</c:v>
                </c:pt>
                <c:pt idx="34">
                  <c:v>94.3311388307263</c:v>
                </c:pt>
                <c:pt idx="35">
                  <c:v>94.4316006387557</c:v>
                </c:pt>
                <c:pt idx="36">
                  <c:v>94.5343723796234</c:v>
                </c:pt>
                <c:pt idx="37">
                  <c:v>94.6395057231335</c:v>
                </c:pt>
                <c:pt idx="38">
                  <c:v>94.7470533922024</c:v>
                </c:pt>
                <c:pt idx="39">
                  <c:v>94.8570691769067</c:v>
                </c:pt>
                <c:pt idx="40">
                  <c:v>94.9696079481414</c:v>
                </c:pt>
                <c:pt idx="41">
                  <c:v>95.0847256708332</c:v>
                </c:pt>
                <c:pt idx="42">
                  <c:v>95.202479416647</c:v>
                </c:pt>
                <c:pt idx="43">
                  <c:v>95.322927376121</c:v>
                </c:pt>
                <c:pt idx="44">
                  <c:v>95.4461288701609</c:v>
                </c:pt>
                <c:pt idx="45">
                  <c:v>95.5721443608178</c:v>
                </c:pt>
                <c:pt idx="46">
                  <c:v>95.7010354612703</c:v>
                </c:pt>
                <c:pt idx="47">
                  <c:v>95.8328649449241</c:v>
                </c:pt>
                <c:pt idx="48">
                  <c:v>95.9676967535384</c:v>
                </c:pt>
                <c:pt idx="49">
                  <c:v>96.1055960042804</c:v>
                </c:pt>
                <c:pt idx="50">
                  <c:v>96.2466289956042</c:v>
                </c:pt>
                <c:pt idx="51">
                  <c:v>96.3908632118417</c:v>
                </c:pt>
                <c:pt idx="52">
                  <c:v>96.5383673263881</c:v>
                </c:pt>
                <c:pt idx="53">
                  <c:v>96.6892112033549</c:v>
                </c:pt>
                <c:pt idx="54">
                  <c:v>96.843465897557</c:v>
                </c:pt>
                <c:pt idx="55">
                  <c:v>97.001203652691</c:v>
                </c:pt>
                <c:pt idx="56">
                  <c:v>97.1624978975539</c:v>
                </c:pt>
                <c:pt idx="57">
                  <c:v>97.3274232401425</c:v>
                </c:pt>
                <c:pt idx="58">
                  <c:v>97.4960554594638</c:v>
                </c:pt>
                <c:pt idx="59">
                  <c:v>97.6684714948778</c:v>
                </c:pt>
                <c:pt idx="60">
                  <c:v>97.8447494327828</c:v>
                </c:pt>
                <c:pt idx="61">
                  <c:v>98.024968490446</c:v>
                </c:pt>
                <c:pt idx="62">
                  <c:v>98.2092089967668</c:v>
                </c:pt>
                <c:pt idx="63">
                  <c:v>98.3975523697544</c:v>
                </c:pt>
                <c:pt idx="64">
                  <c:v>98.5900810904867</c:v>
                </c:pt>
                <c:pt idx="65">
                  <c:v>98.7868786733076</c:v>
                </c:pt>
                <c:pt idx="66">
                  <c:v>98.9880296320087</c:v>
                </c:pt>
                <c:pt idx="67">
                  <c:v>99.1936194417283</c:v>
                </c:pt>
                <c:pt idx="68">
                  <c:v>99.403734496293</c:v>
                </c:pt>
                <c:pt idx="69">
                  <c:v>99.6184620607079</c:v>
                </c:pt>
                <c:pt idx="70">
                  <c:v>99.8378902185009</c:v>
                </c:pt>
                <c:pt idx="71">
                  <c:v>100.062107813606</c:v>
                </c:pt>
                <c:pt idx="72">
                  <c:v>100.291204386463</c:v>
                </c:pt>
                <c:pt idx="73">
                  <c:v>100.525270104009</c:v>
                </c:pt>
                <c:pt idx="74">
                  <c:v>100.764395683203</c:v>
                </c:pt>
                <c:pt idx="75">
                  <c:v>101.008672307755</c:v>
                </c:pt>
                <c:pt idx="76">
                  <c:v>101.258191537684</c:v>
                </c:pt>
                <c:pt idx="77">
                  <c:v>101.513045211341</c:v>
                </c:pt>
                <c:pt idx="78">
                  <c:v>101.773325339544</c:v>
                </c:pt>
                <c:pt idx="79">
                  <c:v>102.03912399142</c:v>
                </c:pt>
                <c:pt idx="80">
                  <c:v>102.310533171609</c:v>
                </c:pt>
                <c:pt idx="81">
                  <c:v>102.587644688436</c:v>
                </c:pt>
                <c:pt idx="82">
                  <c:v>102.870550012676</c:v>
                </c:pt>
                <c:pt idx="83">
                  <c:v>103.159340126559</c:v>
                </c:pt>
                <c:pt idx="84">
                  <c:v>103.454105362643</c:v>
                </c:pt>
                <c:pt idx="85">
                  <c:v>103.75493523221</c:v>
                </c:pt>
                <c:pt idx="86">
                  <c:v>104.061918242862</c:v>
                </c:pt>
                <c:pt idx="87">
                  <c:v>104.375141704992</c:v>
                </c:pt>
                <c:pt idx="88">
                  <c:v>104.694691526855</c:v>
                </c:pt>
                <c:pt idx="89">
                  <c:v>105.020651997983</c:v>
                </c:pt>
                <c:pt idx="90">
                  <c:v>105.353105560712</c:v>
                </c:pt>
                <c:pt idx="91">
                  <c:v>105.692132569653</c:v>
                </c:pt>
                <c:pt idx="92">
                  <c:v>106.03781103897</c:v>
                </c:pt>
                <c:pt idx="93">
                  <c:v>106.390216377385</c:v>
                </c:pt>
                <c:pt idx="94">
                  <c:v>106.749421110903</c:v>
                </c:pt>
                <c:pt idx="95">
                  <c:v>107.115494593301</c:v>
                </c:pt>
                <c:pt idx="96">
                  <c:v>107.488502704519</c:v>
                </c:pt>
                <c:pt idx="97">
                  <c:v>107.868507537165</c:v>
                </c:pt>
                <c:pt idx="98">
                  <c:v>108.255567071446</c:v>
                </c:pt>
                <c:pt idx="99">
                  <c:v>108.64973483894</c:v>
                </c:pt>
                <c:pt idx="100">
                  <c:v>109.051059575728</c:v>
                </c:pt>
                <c:pt idx="101">
                  <c:v>109.459584865535</c:v>
                </c:pt>
                <c:pt idx="102">
                  <c:v>109.875348773645</c:v>
                </c:pt>
                <c:pt idx="103">
                  <c:v>110.298383472508</c:v>
                </c:pt>
                <c:pt idx="104">
                  <c:v>110.728714860078</c:v>
                </c:pt>
                <c:pt idx="105">
                  <c:v>111.166362172092</c:v>
                </c:pt>
                <c:pt idx="106">
                  <c:v>111.611337589651</c:v>
                </c:pt>
                <c:pt idx="107">
                  <c:v>112.063645843612</c:v>
                </c:pt>
                <c:pt idx="108">
                  <c:v>112.523283817497</c:v>
                </c:pt>
                <c:pt idx="109">
                  <c:v>112.990240150743</c:v>
                </c:pt>
                <c:pt idx="110">
                  <c:v>113.46449484435</c:v>
                </c:pt>
                <c:pt idx="111">
                  <c:v>113.946018871087</c:v>
                </c:pt>
                <c:pt idx="112">
                  <c:v>114.434773792618</c:v>
                </c:pt>
                <c:pt idx="113">
                  <c:v>114.930711386051</c:v>
                </c:pt>
                <c:pt idx="114">
                  <c:v>115.433773282576</c:v>
                </c:pt>
                <c:pt idx="115">
                  <c:v>115.94389062096</c:v>
                </c:pt>
                <c:pt idx="116">
                  <c:v>116.460983718821</c:v>
                </c:pt>
                <c:pt idx="117">
                  <c:v>116.984961764698</c:v>
                </c:pt>
                <c:pt idx="118">
                  <c:v>117.515722533984</c:v>
                </c:pt>
                <c:pt idx="119">
                  <c:v>118.053152131898</c:v>
                </c:pt>
                <c:pt idx="120">
                  <c:v>118.597124766641</c:v>
                </c:pt>
                <c:pt idx="121">
                  <c:v>119.147502555921</c:v>
                </c:pt>
                <c:pt idx="122">
                  <c:v>119.70413536997</c:v>
                </c:pt>
                <c:pt idx="123">
                  <c:v>120.266860714103</c:v>
                </c:pt>
                <c:pt idx="124">
                  <c:v>120.83550365376</c:v>
                </c:pt>
                <c:pt idx="125">
                  <c:v>121.409876784815</c:v>
                </c:pt>
                <c:pt idx="126">
                  <c:v>121.989780251713</c:v>
                </c:pt>
                <c:pt idx="127">
                  <c:v>122.575001815797</c:v>
                </c:pt>
                <c:pt idx="128">
                  <c:v>123.165316975866</c:v>
                </c:pt>
                <c:pt idx="129">
                  <c:v>123.760489142672</c:v>
                </c:pt>
                <c:pt idx="130">
                  <c:v>124.360269868732</c:v>
                </c:pt>
                <c:pt idx="131">
                  <c:v>124.964399134383</c:v>
                </c:pt>
                <c:pt idx="132">
                  <c:v>125.572605690589</c:v>
                </c:pt>
                <c:pt idx="133">
                  <c:v>126.184607458526</c:v>
                </c:pt>
                <c:pt idx="134">
                  <c:v>126.80011198548</c:v>
                </c:pt>
                <c:pt idx="135">
                  <c:v>127.418816956069</c:v>
                </c:pt>
                <c:pt idx="136">
                  <c:v>128.040410757275</c:v>
                </c:pt>
                <c:pt idx="137">
                  <c:v>128.664573095241</c:v>
                </c:pt>
                <c:pt idx="138">
                  <c:v>129.290975661253</c:v>
                </c:pt>
                <c:pt idx="139">
                  <c:v>129.919282843805</c:v>
                </c:pt>
                <c:pt idx="140">
                  <c:v>130.549152483159</c:v>
                </c:pt>
                <c:pt idx="141">
                  <c:v>131.180236664324</c:v>
                </c:pt>
                <c:pt idx="142">
                  <c:v>131.812182543964</c:v>
                </c:pt>
                <c:pt idx="143">
                  <c:v>132.444633206323</c:v>
                </c:pt>
                <c:pt idx="144">
                  <c:v>133.077228542968</c:v>
                </c:pt>
                <c:pt idx="145">
                  <c:v>133.709606150803</c:v>
                </c:pt>
                <c:pt idx="146">
                  <c:v>134.341402242654</c:v>
                </c:pt>
                <c:pt idx="147">
                  <c:v>134.972252564521</c:v>
                </c:pt>
                <c:pt idx="148">
                  <c:v>135.601793313544</c:v>
                </c:pt>
                <c:pt idx="149">
                  <c:v>136.229662050712</c:v>
                </c:pt>
                <c:pt idx="150">
                  <c:v>136.85549860239</c:v>
                </c:pt>
                <c:pt idx="151">
                  <c:v>137.478945944893</c:v>
                </c:pt>
                <c:pt idx="152">
                  <c:v>138.099651066517</c:v>
                </c:pt>
                <c:pt idx="153">
                  <c:v>138.717265801719</c:v>
                </c:pt>
                <c:pt idx="154">
                  <c:v>139.331447632435</c:v>
                </c:pt>
                <c:pt idx="155">
                  <c:v>139.941860451929</c:v>
                </c:pt>
                <c:pt idx="156">
                  <c:v>140.548175286968</c:v>
                </c:pt>
                <c:pt idx="157">
                  <c:v>141.150070974596</c:v>
                </c:pt>
                <c:pt idx="158">
                  <c:v>141.747234790236</c:v>
                </c:pt>
                <c:pt idx="159">
                  <c:v>142.339363024429</c:v>
                </c:pt>
                <c:pt idx="160">
                  <c:v>142.926161505968</c:v>
                </c:pt>
                <c:pt idx="161">
                  <c:v>143.507346069778</c:v>
                </c:pt>
                <c:pt idx="162">
                  <c:v>144.082642968403</c:v>
                </c:pt>
                <c:pt idx="163">
                  <c:v>144.651789226472</c:v>
                </c:pt>
                <c:pt idx="164">
                  <c:v>145.214532938044</c:v>
                </c:pt>
                <c:pt idx="165">
                  <c:v>145.770633507186</c:v>
                </c:pt>
                <c:pt idx="166">
                  <c:v>146.319861832619</c:v>
                </c:pt>
                <c:pt idx="167">
                  <c:v>146.862000437649</c:v>
                </c:pt>
                <c:pt idx="168">
                  <c:v>147.396843547029</c:v>
                </c:pt>
                <c:pt idx="169">
                  <c:v>147.924197112687</c:v>
                </c:pt>
                <c:pt idx="170">
                  <c:v>148.443878790591</c:v>
                </c:pt>
                <c:pt idx="171">
                  <c:v>148.955717871271</c:v>
                </c:pt>
                <c:pt idx="172">
                  <c:v>149.459555166708</c:v>
                </c:pt>
                <c:pt idx="173">
                  <c:v>149.955242856515</c:v>
                </c:pt>
                <c:pt idx="174">
                  <c:v>150.442644296399</c:v>
                </c:pt>
                <c:pt idx="175">
                  <c:v>150.921633792053</c:v>
                </c:pt>
                <c:pt idx="176">
                  <c:v>151.392096341615</c:v>
                </c:pt>
                <c:pt idx="177">
                  <c:v>151.853927349881</c:v>
                </c:pt>
                <c:pt idx="178">
                  <c:v>152.307032317435</c:v>
                </c:pt>
                <c:pt idx="179">
                  <c:v>152.751326507802</c:v>
                </c:pt>
                <c:pt idx="180">
                  <c:v>153.186734595669</c:v>
                </c:pt>
                <c:pt idx="181">
                  <c:v>153.613190299124</c:v>
                </c:pt>
                <c:pt idx="182">
                  <c:v>154.030635998725</c:v>
                </c:pt>
                <c:pt idx="183">
                  <c:v>154.439022346128</c:v>
                </c:pt>
                <c:pt idx="184">
                  <c:v>154.838307864807</c:v>
                </c:pt>
                <c:pt idx="185">
                  <c:v>155.228458545287</c:v>
                </c:pt>
                <c:pt idx="186">
                  <c:v>155.60944743712</c:v>
                </c:pt>
                <c:pt idx="187">
                  <c:v>155.981254239697</c:v>
                </c:pt>
                <c:pt idx="188">
                  <c:v>156.343864893798</c:v>
                </c:pt>
                <c:pt idx="189">
                  <c:v>156.697271175638</c:v>
                </c:pt>
                <c:pt idx="190">
                  <c:v>157.041470294972</c:v>
                </c:pt>
                <c:pt idx="191">
                  <c:v>157.376464498701</c:v>
                </c:pt>
                <c:pt idx="192">
                  <c:v>157.702260681215</c:v>
                </c:pt>
                <c:pt idx="193">
                  <c:v>158.018870002609</c:v>
                </c:pt>
                <c:pt idx="194">
                  <c:v>158.326307515721</c:v>
                </c:pt>
                <c:pt idx="195">
                  <c:v>158.624591802829</c:v>
                </c:pt>
                <c:pt idx="196">
                  <c:v>158.913744622705</c:v>
                </c:pt>
                <c:pt idx="197">
                  <c:v>159.193790568614</c:v>
                </c:pt>
                <c:pt idx="198">
                  <c:v>159.464756737711</c:v>
                </c:pt>
                <c:pt idx="199">
                  <c:v>159.72667241222</c:v>
                </c:pt>
                <c:pt idx="200">
                  <c:v>159.97956875266</c:v>
                </c:pt>
                <c:pt idx="201">
                  <c:v>160.223478503296</c:v>
                </c:pt>
                <c:pt idx="202">
                  <c:v>160.45843570994</c:v>
                </c:pt>
                <c:pt idx="203">
                  <c:v>160.684475450128</c:v>
                </c:pt>
                <c:pt idx="204">
                  <c:v>160.901633575664</c:v>
                </c:pt>
                <c:pt idx="205">
                  <c:v>161.109946467449</c:v>
                </c:pt>
                <c:pt idx="206">
                  <c:v>161.309450802477</c:v>
                </c:pt>
                <c:pt idx="207">
                  <c:v>161.500183332841</c:v>
                </c:pt>
                <c:pt idx="208">
                  <c:v>161.68218067655</c:v>
                </c:pt>
                <c:pt idx="209">
                  <c:v>161.855479119944</c:v>
                </c:pt>
                <c:pt idx="210">
                  <c:v>162.020114431452</c:v>
                </c:pt>
                <c:pt idx="211">
                  <c:v>162.17612168645</c:v>
                </c:pt>
                <c:pt idx="212">
                  <c:v>162.323535102925</c:v>
                </c:pt>
                <c:pt idx="213">
                  <c:v>162.462387887689</c:v>
                </c:pt>
                <c:pt idx="214">
                  <c:v>162.59271209284</c:v>
                </c:pt>
                <c:pt idx="215">
                  <c:v>162.714538482191</c:v>
                </c:pt>
                <c:pt idx="216">
                  <c:v>162.827896407383</c:v>
                </c:pt>
                <c:pt idx="217">
                  <c:v>162.932813693411</c:v>
                </c:pt>
                <c:pt idx="218">
                  <c:v>163.029316533277</c:v>
                </c:pt>
                <c:pt idx="219">
                  <c:v>163.117429391535</c:v>
                </c:pt>
                <c:pt idx="220">
                  <c:v>163.197174916449</c:v>
                </c:pt>
                <c:pt idx="221">
                  <c:v>163.268573860562</c:v>
                </c:pt>
                <c:pt idx="222">
                  <c:v>163.331645009429</c:v>
                </c:pt>
                <c:pt idx="223">
                  <c:v>163.386405118343</c:v>
                </c:pt>
                <c:pt idx="224">
                  <c:v>163.432868856833</c:v>
                </c:pt>
                <c:pt idx="225">
                  <c:v>163.471048760809</c:v>
                </c:pt>
                <c:pt idx="226">
                  <c:v>163.500955192179</c:v>
                </c:pt>
                <c:pt idx="227">
                  <c:v>163.522596305828</c:v>
                </c:pt>
                <c:pt idx="228">
                  <c:v>163.535978023862</c:v>
                </c:pt>
                <c:pt idx="229">
                  <c:v>163.541104017011</c:v>
                </c:pt>
                <c:pt idx="230">
                  <c:v>163.537975693169</c:v>
                </c:pt>
                <c:pt idx="231">
                  <c:v>163.526592193001</c:v>
                </c:pt>
                <c:pt idx="232">
                  <c:v>163.50695039262</c:v>
                </c:pt>
                <c:pt idx="233">
                  <c:v>163.479044913344</c:v>
                </c:pt>
                <c:pt idx="234">
                  <c:v>163.442868138554</c:v>
                </c:pt>
                <c:pt idx="235">
                  <c:v>163.398410237709</c:v>
                </c:pt>
                <c:pt idx="236">
                  <c:v>163.345659197609</c:v>
                </c:pt>
                <c:pt idx="237">
                  <c:v>163.284600860977</c:v>
                </c:pt>
                <c:pt idx="238">
                  <c:v>163.215218972498</c:v>
                </c:pt>
                <c:pt idx="239">
                  <c:v>163.137495232457</c:v>
                </c:pt>
                <c:pt idx="240">
                  <c:v>163.051409358109</c:v>
                </c:pt>
                <c:pt idx="241">
                  <c:v>162.956939153002</c:v>
                </c:pt>
                <c:pt idx="242">
                  <c:v>162.85406058441</c:v>
                </c:pt>
                <c:pt idx="243">
                  <c:v>162.742747869115</c:v>
                </c:pt>
                <c:pt idx="244">
                  <c:v>162.62297356776</c:v>
                </c:pt>
                <c:pt idx="245">
                  <c:v>162.494708688019</c:v>
                </c:pt>
                <c:pt idx="246">
                  <c:v>162.357922796837</c:v>
                </c:pt>
                <c:pt idx="247">
                  <c:v>162.212584142016</c:v>
                </c:pt>
                <c:pt idx="248">
                  <c:v>162.058659783415</c:v>
                </c:pt>
                <c:pt idx="249">
                  <c:v>161.896115734046</c:v>
                </c:pt>
                <c:pt idx="250">
                  <c:v>161.724917111366</c:v>
                </c:pt>
                <c:pt idx="251">
                  <c:v>161.545028299021</c:v>
                </c:pt>
                <c:pt idx="252">
                  <c:v>161.356413119354</c:v>
                </c:pt>
                <c:pt idx="253">
                  <c:v>161.159035016935</c:v>
                </c:pt>
                <c:pt idx="254">
                  <c:v>160.95285725338</c:v>
                </c:pt>
                <c:pt idx="255">
                  <c:v>160.737843113702</c:v>
                </c:pt>
                <c:pt idx="256">
                  <c:v>160.513956124429</c:v>
                </c:pt>
                <c:pt idx="257">
                  <c:v>160.281160283689</c:v>
                </c:pt>
                <c:pt idx="258">
                  <c:v>160.039420303419</c:v>
                </c:pt>
                <c:pt idx="259">
                  <c:v>159.788701863842</c:v>
                </c:pt>
                <c:pt idx="260">
                  <c:v>159.528971880292</c:v>
                </c:pt>
                <c:pt idx="261">
                  <c:v>159.260198782419</c:v>
                </c:pt>
                <c:pt idx="262">
                  <c:v>158.982352805758</c:v>
                </c:pt>
                <c:pt idx="263">
                  <c:v>158.695406295555</c:v>
                </c:pt>
                <c:pt idx="264">
                  <c:v>158.3993340227</c:v>
                </c:pt>
                <c:pt idx="265">
                  <c:v>158.094113511502</c:v>
                </c:pt>
                <c:pt idx="266">
                  <c:v>157.779725378975</c:v>
                </c:pt>
                <c:pt idx="267">
                  <c:v>157.456153685181</c:v>
                </c:pt>
                <c:pt idx="268">
                  <c:v>157.123386294089</c:v>
                </c:pt>
                <c:pt idx="269">
                  <c:v>156.781415244268</c:v>
                </c:pt>
                <c:pt idx="270">
                  <c:v>156.430237128621</c:v>
                </c:pt>
                <c:pt idx="271">
                  <c:v>156.069853482233</c:v>
                </c:pt>
                <c:pt idx="272">
                  <c:v>155.700271177243</c:v>
                </c:pt>
                <c:pt idx="273">
                  <c:v>155.321502823532</c:v>
                </c:pt>
                <c:pt idx="274">
                  <c:v>154.933567173835</c:v>
                </c:pt>
                <c:pt idx="275">
                  <c:v>154.53648953174</c:v>
                </c:pt>
                <c:pt idx="276">
                  <c:v>154.130302160865</c:v>
                </c:pt>
                <c:pt idx="277">
                  <c:v>153.715044693353</c:v>
                </c:pt>
                <c:pt idx="278">
                  <c:v>153.290764535618</c:v>
                </c:pt>
                <c:pt idx="279">
                  <c:v>152.857517269176</c:v>
                </c:pt>
                <c:pt idx="280">
                  <c:v>152.415367044158</c:v>
                </c:pt>
                <c:pt idx="281">
                  <c:v>151.964386963006</c:v>
                </c:pt>
                <c:pt idx="282">
                  <c:v>151.50465945168</c:v>
                </c:pt>
                <c:pt idx="283">
                  <c:v>151.03627661557</c:v>
                </c:pt>
                <c:pt idx="284">
                  <c:v>150.5593405772</c:v>
                </c:pt>
                <c:pt idx="285">
                  <c:v>150.073963792701</c:v>
                </c:pt>
                <c:pt idx="286">
                  <c:v>149.580269343956</c:v>
                </c:pt>
                <c:pt idx="287">
                  <c:v>149.078391203266</c:v>
                </c:pt>
                <c:pt idx="288">
                  <c:v>148.568474467363</c:v>
                </c:pt>
                <c:pt idx="289">
                  <c:v>148.050675557591</c:v>
                </c:pt>
                <c:pt idx="290">
                  <c:v>147.525162383147</c:v>
                </c:pt>
                <c:pt idx="291">
                  <c:v>146.992114464307</c:v>
                </c:pt>
                <c:pt idx="292">
                  <c:v>146.451723012725</c:v>
                </c:pt>
                <c:pt idx="293">
                  <c:v>145.904190966022</c:v>
                </c:pt>
                <c:pt idx="294">
                  <c:v>145.349732974096</c:v>
                </c:pt>
                <c:pt idx="295">
                  <c:v>144.788575334836</c:v>
                </c:pt>
                <c:pt idx="296">
                  <c:v>144.22095587719</c:v>
                </c:pt>
                <c:pt idx="297">
                  <c:v>143.647123789889</c:v>
                </c:pt>
                <c:pt idx="298">
                  <c:v>143.067339394501</c:v>
                </c:pt>
                <c:pt idx="299">
                  <c:v>142.481873861872</c:v>
                </c:pt>
                <c:pt idx="300">
                  <c:v>141.891008871493</c:v>
                </c:pt>
                <c:pt idx="301">
                  <c:v>141.295036213775</c:v>
                </c:pt>
                <c:pt idx="302">
                  <c:v>140.694257335737</c:v>
                </c:pt>
                <c:pt idx="303">
                  <c:v>140.088982831101</c:v>
                </c:pt>
                <c:pt idx="304">
                  <c:v>139.479531876355</c:v>
                </c:pt>
                <c:pt idx="305">
                  <c:v>138.866231614844</c:v>
                </c:pt>
                <c:pt idx="306">
                  <c:v>138.249416491498</c:v>
                </c:pt>
                <c:pt idx="307">
                  <c:v>137.629427541321</c:v>
                </c:pt>
                <c:pt idx="308">
                  <c:v>137.00661163526</c:v>
                </c:pt>
                <c:pt idx="309">
                  <c:v>136.381320687544</c:v>
                </c:pt>
                <c:pt idx="310">
                  <c:v>135.753910829014</c:v>
                </c:pt>
                <c:pt idx="311">
                  <c:v>135.124741551355</c:v>
                </c:pt>
                <c:pt idx="312">
                  <c:v>134.494174827475</c:v>
                </c:pt>
                <c:pt idx="313">
                  <c:v>133.862574213556</c:v>
                </c:pt>
                <c:pt idx="314">
                  <c:v>133.230303938513</c:v>
                </c:pt>
                <c:pt idx="315">
                  <c:v>132.597727986756</c:v>
                </c:pt>
                <c:pt idx="316">
                  <c:v>131.965209180212</c:v>
                </c:pt>
                <c:pt idx="317">
                  <c:v>131.333108265588</c:v>
                </c:pt>
                <c:pt idx="318">
                  <c:v>130.701783012774</c:v>
                </c:pt>
                <c:pt idx="319">
                  <c:v>130.071587330174</c:v>
                </c:pt>
                <c:pt idx="320">
                  <c:v>129.442870402518</c:v>
                </c:pt>
                <c:pt idx="321">
                  <c:v>128.815975856469</c:v>
                </c:pt>
                <c:pt idx="322">
                  <c:v>128.191240959011</c:v>
                </c:pt>
                <c:pt idx="323">
                  <c:v>127.568995853193</c:v>
                </c:pt>
                <c:pt idx="324">
                  <c:v>126.949562835438</c:v>
                </c:pt>
                <c:pt idx="325">
                  <c:v>126.333255678097</c:v>
                </c:pt>
                <c:pt idx="326">
                  <c:v>125.720379000503</c:v>
                </c:pt>
                <c:pt idx="327">
                  <c:v>125.111227691195</c:v>
                </c:pt>
                <c:pt idx="328">
                  <c:v>124.506086383517</c:v>
                </c:pt>
                <c:pt idx="329">
                  <c:v>123.90522898622</c:v>
                </c:pt>
                <c:pt idx="330">
                  <c:v>123.308918270189</c:v>
                </c:pt>
                <c:pt idx="331">
                  <c:v>122.717405511875</c:v>
                </c:pt>
                <c:pt idx="332">
                  <c:v>122.130930193539</c:v>
                </c:pt>
                <c:pt idx="333">
                  <c:v>121.549719759893</c:v>
                </c:pt>
                <c:pt idx="334">
                  <c:v>120.973989430333</c:v>
                </c:pt>
                <c:pt idx="335">
                  <c:v>120.403942065461</c:v>
                </c:pt>
                <c:pt idx="336">
                  <c:v>119.839768086309</c:v>
                </c:pt>
                <c:pt idx="337">
                  <c:v>119.281645444244</c:v>
                </c:pt>
                <c:pt idx="338">
                  <c:v>118.729739639322</c:v>
                </c:pt>
                <c:pt idx="339">
                  <c:v>118.184203784538</c:v>
                </c:pt>
                <c:pt idx="340">
                  <c:v>117.645178713247</c:v>
                </c:pt>
                <c:pt idx="341">
                  <c:v>117.112793126853</c:v>
                </c:pt>
                <c:pt idx="342">
                  <c:v>116.587163779743</c:v>
                </c:pt>
                <c:pt idx="343">
                  <c:v>116.068395698339</c:v>
                </c:pt>
                <c:pt idx="344">
                  <c:v>115.556582431115</c:v>
                </c:pt>
                <c:pt idx="345">
                  <c:v>115.051806326411</c:v>
                </c:pt>
                <c:pt idx="346">
                  <c:v>114.554138834873</c:v>
                </c:pt>
                <c:pt idx="347">
                  <c:v>114.063640833425</c:v>
                </c:pt>
                <c:pt idx="348">
                  <c:v>113.580362967743</c:v>
                </c:pt>
                <c:pt idx="349">
                  <c:v>113.104346010282</c:v>
                </c:pt>
                <c:pt idx="350">
                  <c:v>112.635621231054</c:v>
                </c:pt>
                <c:pt idx="351">
                  <c:v>112.174210778448</c:v>
                </c:pt>
                <c:pt idx="352">
                  <c:v>111.720128067579</c:v>
                </c:pt>
                <c:pt idx="353">
                  <c:v>111.273378173742</c:v>
                </c:pt>
                <c:pt idx="354">
                  <c:v>110.833958228772</c:v>
                </c:pt>
                <c:pt idx="355">
                  <c:v>110.401857818228</c:v>
                </c:pt>
                <c:pt idx="356">
                  <c:v>109.977059377526</c:v>
                </c:pt>
                <c:pt idx="357">
                  <c:v>109.559538585268</c:v>
                </c:pt>
                <c:pt idx="358">
                  <c:v>109.149264752239</c:v>
                </c:pt>
                <c:pt idx="359">
                  <c:v>108.746201204643</c:v>
                </c:pt>
                <c:pt idx="360">
                  <c:v>108.350305660364</c:v>
                </c:pt>
                <c:pt idx="361">
                  <c:v>107.961530597145</c:v>
                </c:pt>
                <c:pt idx="362">
                  <c:v>107.579823611761</c:v>
                </c:pt>
                <c:pt idx="363">
                  <c:v>107.205127769364</c:v>
                </c:pt>
                <c:pt idx="364">
                  <c:v>106.837381942341</c:v>
                </c:pt>
                <c:pt idx="365">
                  <c:v>106.476521138125</c:v>
                </c:pt>
                <c:pt idx="366">
                  <c:v>106.122476815522</c:v>
                </c:pt>
                <c:pt idx="367">
                  <c:v>105.775177189221</c:v>
                </c:pt>
                <c:pt idx="368">
                  <c:v>105.434547522247</c:v>
                </c:pt>
                <c:pt idx="369">
                  <c:v>105.100510406208</c:v>
                </c:pt>
                <c:pt idx="370">
                  <c:v>104.77298602926</c:v>
                </c:pt>
                <c:pt idx="371">
                  <c:v>104.451892431793</c:v>
                </c:pt>
                <c:pt idx="372">
                  <c:v>104.137145749905</c:v>
                </c:pt>
                <c:pt idx="373">
                  <c:v>103.828660446774</c:v>
                </c:pt>
                <c:pt idx="374">
                  <c:v>103.526349532102</c:v>
                </c:pt>
                <c:pt idx="375">
                  <c:v>103.230124769848</c:v>
                </c:pt>
                <c:pt idx="376">
                  <c:v>102.93989687448</c:v>
                </c:pt>
                <c:pt idx="377">
                  <c:v>102.655575696054</c:v>
                </c:pt>
                <c:pt idx="378">
                  <c:v>102.377070394396</c:v>
                </c:pt>
                <c:pt idx="379">
                  <c:v>102.104289602734</c:v>
                </c:pt>
                <c:pt idx="380">
                  <c:v>101.837141581117</c:v>
                </c:pt>
                <c:pt idx="381">
                  <c:v>101.575534359972</c:v>
                </c:pt>
                <c:pt idx="382">
                  <c:v>101.319375874178</c:v>
                </c:pt>
                <c:pt idx="383">
                  <c:v>101.068574088015</c:v>
                </c:pt>
                <c:pt idx="384">
                  <c:v>100.823037111373</c:v>
                </c:pt>
                <c:pt idx="385">
                  <c:v>100.582673307594</c:v>
                </c:pt>
                <c:pt idx="386">
                  <c:v>100.347391393324</c:v>
                </c:pt>
                <c:pt idx="387">
                  <c:v>100.11710053074</c:v>
                </c:pt>
                <c:pt idx="388">
                  <c:v>99.8917104125288</c:v>
                </c:pt>
                <c:pt idx="389">
                  <c:v>99.6711313399704</c:v>
                </c:pt>
                <c:pt idx="390">
                  <c:v>99.4552742944823</c:v>
                </c:pt>
                <c:pt idx="391">
                  <c:v>99.2440510029663</c:v>
                </c:pt>
                <c:pt idx="392">
                  <c:v>99.0373739972947</c:v>
                </c:pt>
                <c:pt idx="393">
                  <c:v>98.8351566682596</c:v>
                </c:pt>
                <c:pt idx="394">
                  <c:v>98.6373133142987</c:v>
                </c:pt>
                <c:pt idx="395">
                  <c:v>98.4437591853023</c:v>
                </c:pt>
                <c:pt idx="396">
                  <c:v>98.2544105217902</c:v>
                </c:pt>
                <c:pt idx="397">
                  <c:v>98.0691845897422</c:v>
                </c:pt>
                <c:pt idx="398">
                  <c:v>97.887999711349</c:v>
                </c:pt>
                <c:pt idx="399">
                  <c:v>97.7107752919402</c:v>
                </c:pt>
                <c:pt idx="400">
                  <c:v>97.5374318433375</c:v>
                </c:pt>
                <c:pt idx="401">
                  <c:v>97.3678910038649</c:v>
                </c:pt>
                <c:pt idx="402">
                  <c:v>97.2020755552416</c:v>
                </c:pt>
                <c:pt idx="403">
                  <c:v>97.0399094365689</c:v>
                </c:pt>
                <c:pt idx="404">
                  <c:v>96.8813177556117</c:v>
                </c:pt>
                <c:pt idx="405">
                  <c:v>96.7262267975702</c:v>
                </c:pt>
                <c:pt idx="406">
                  <c:v>96.5745640315169</c:v>
                </c:pt>
                <c:pt idx="407">
                  <c:v>96.426258114677</c:v>
                </c:pt>
                <c:pt idx="408">
                  <c:v>96.2812388947097</c:v>
                </c:pt>
                <c:pt idx="409">
                  <c:v>96.1394374101451</c:v>
                </c:pt>
                <c:pt idx="410">
                  <c:v>96.0007858891225</c:v>
                </c:pt>
                <c:pt idx="411">
                  <c:v>95.8652177465635</c:v>
                </c:pt>
                <c:pt idx="412">
                  <c:v>95.7326675799099</c:v>
                </c:pt>
                <c:pt idx="413">
                  <c:v>95.6030711635464</c:v>
                </c:pt>
                <c:pt idx="414">
                  <c:v>95.4763654420205</c:v>
                </c:pt>
                <c:pt idx="415">
                  <c:v>95.3524885221665</c:v>
                </c:pt>
                <c:pt idx="416">
                  <c:v>95.2313796642326</c:v>
                </c:pt>
                <c:pt idx="417">
                  <c:v>95.1129792721043</c:v>
                </c:pt>
                <c:pt idx="418">
                  <c:v>94.9972288827116</c:v>
                </c:pt>
                <c:pt idx="419">
                  <c:v>94.8840711547013</c:v>
                </c:pt>
                <c:pt idx="420">
                  <c:v>94.7734498564498</c:v>
                </c:pt>
                <c:pt idx="421">
                  <c:v>94.6653098534894</c:v>
                </c:pt>
                <c:pt idx="422">
                  <c:v>94.5595970954116</c:v>
                </c:pt>
                <c:pt idx="423">
                  <c:v>94.4562586023113</c:v>
                </c:pt>
                <c:pt idx="424">
                  <c:v>94.3552424508283</c:v>
                </c:pt>
                <c:pt idx="425">
                  <c:v>94.2564977598393</c:v>
                </c:pt>
                <c:pt idx="426">
                  <c:v>94.1599746758505</c:v>
                </c:pt>
                <c:pt idx="427">
                  <c:v>94.0656243581359</c:v>
                </c:pt>
                <c:pt idx="428">
                  <c:v>93.9733989636653</c:v>
                </c:pt>
                <c:pt idx="429">
                  <c:v>93.8832516318587</c:v>
                </c:pt>
                <c:pt idx="430">
                  <c:v>93.7951364692072</c:v>
                </c:pt>
                <c:pt idx="431">
                  <c:v>93.7090085337905</c:v>
                </c:pt>
                <c:pt idx="432">
                  <c:v>93.6248238197242</c:v>
                </c:pt>
                <c:pt idx="433">
                  <c:v>93.5425392415642</c:v>
                </c:pt>
                <c:pt idx="434">
                  <c:v>93.4621126186956</c:v>
                </c:pt>
                <c:pt idx="435">
                  <c:v>93.3835026597289</c:v>
                </c:pt>
                <c:pt idx="436">
                  <c:v>93.3066689469263</c:v>
                </c:pt>
                <c:pt idx="437">
                  <c:v>93.2315719206781</c:v>
                </c:pt>
                <c:pt idx="438">
                  <c:v>93.1581728640477</c:v>
                </c:pt>
                <c:pt idx="439">
                  <c:v>93.086433887402</c:v>
                </c:pt>
                <c:pt idx="440">
                  <c:v>93.0163179131415</c:v>
                </c:pt>
                <c:pt idx="441">
                  <c:v>92.9477886605461</c:v>
                </c:pt>
                <c:pt idx="442">
                  <c:v>92.8808106307466</c:v>
                </c:pt>
                <c:pt idx="443">
                  <c:v>92.8153490918344</c:v>
                </c:pt>
                <c:pt idx="444">
                  <c:v>92.7513700641197</c:v>
                </c:pt>
                <c:pt idx="445">
                  <c:v>92.688840305547</c:v>
                </c:pt>
                <c:pt idx="446">
                  <c:v>92.6277272972746</c:v>
                </c:pt>
                <c:pt idx="447">
                  <c:v>92.5679992294282</c:v>
                </c:pt>
                <c:pt idx="448">
                  <c:v>92.5096249870311</c:v>
                </c:pt>
                <c:pt idx="449">
                  <c:v>92.4525741361198</c:v>
                </c:pt>
                <c:pt idx="450">
                  <c:v>92.3968169100477</c:v>
                </c:pt>
                <c:pt idx="451">
                  <c:v>92.3423241959813</c:v>
                </c:pt>
                <c:pt idx="452">
                  <c:v>92.2890675215928</c:v>
                </c:pt>
                <c:pt idx="453">
                  <c:v>92.2370190419518</c:v>
                </c:pt>
                <c:pt idx="454">
                  <c:v>92.1861515266178</c:v>
                </c:pt>
                <c:pt idx="455">
                  <c:v>92.1364383469359</c:v>
                </c:pt>
                <c:pt idx="456">
                  <c:v>92.0878534635368</c:v>
                </c:pt>
                <c:pt idx="457">
                  <c:v>92.0403714140424</c:v>
                </c:pt>
                <c:pt idx="458">
                  <c:v>91.9939673009767</c:v>
                </c:pt>
                <c:pt idx="459">
                  <c:v>91.948616779883</c:v>
                </c:pt>
                <c:pt idx="460">
                  <c:v>91.904296047647</c:v>
                </c:pt>
                <c:pt idx="461">
                  <c:v>91.860981831025</c:v>
                </c:pt>
                <c:pt idx="462">
                  <c:v>91.8186513753775</c:v>
                </c:pt>
                <c:pt idx="463">
                  <c:v>91.7772824336058</c:v>
                </c:pt>
                <c:pt idx="464">
                  <c:v>91.736853255292</c:v>
                </c:pt>
                <c:pt idx="465">
                  <c:v>91.6973425760393</c:v>
                </c:pt>
                <c:pt idx="466">
                  <c:v>91.6587296070135</c:v>
                </c:pt>
                <c:pt idx="467">
                  <c:v>91.6209940246807</c:v>
                </c:pt>
                <c:pt idx="468">
                  <c:v>91.5841159607427</c:v>
                </c:pt>
                <c:pt idx="469">
                  <c:v>91.5480759922659</c:v>
                </c:pt>
                <c:pt idx="470">
                  <c:v>91.5128551320019</c:v>
                </c:pt>
                <c:pt idx="471">
                  <c:v>91.4784348188989</c:v>
                </c:pt>
                <c:pt idx="472">
                  <c:v>91.4447969087998</c:v>
                </c:pt>
                <c:pt idx="473">
                  <c:v>91.4119236653258</c:v>
                </c:pt>
                <c:pt idx="474">
                  <c:v>91.3797977509427</c:v>
                </c:pt>
                <c:pt idx="475">
                  <c:v>91.3484022182073</c:v>
                </c:pt>
                <c:pt idx="476">
                  <c:v>91.3177205011915</c:v>
                </c:pt>
                <c:pt idx="477">
                  <c:v>91.2877364070817</c:v>
                </c:pt>
                <c:pt idx="478">
                  <c:v>91.2584341079497</c:v>
                </c:pt>
                <c:pt idx="479">
                  <c:v>91.2297981326945</c:v>
                </c:pt>
                <c:pt idx="480">
                  <c:v>91.2018133591501</c:v>
                </c:pt>
                <c:pt idx="481">
                  <c:v>91.174465006358</c:v>
                </c:pt>
                <c:pt idx="482">
                  <c:v>91.1477386270014</c:v>
                </c:pt>
                <c:pt idx="483">
                  <c:v>91.1216200999981</c:v>
                </c:pt>
                <c:pt idx="484">
                  <c:v>91.0960956232496</c:v>
                </c:pt>
                <c:pt idx="485">
                  <c:v>91.0711517065431</c:v>
                </c:pt>
                <c:pt idx="486">
                  <c:v>91.0467751646054</c:v>
                </c:pt>
                <c:pt idx="487">
                  <c:v>91.0229531103031</c:v>
                </c:pt>
                <c:pt idx="488">
                  <c:v>90.9996729479897</c:v>
                </c:pt>
                <c:pt idx="489">
                  <c:v>90.976922366994</c:v>
                </c:pt>
                <c:pt idx="490">
                  <c:v>90.9546893352497</c:v>
                </c:pt>
                <c:pt idx="491">
                  <c:v>90.9329620930609</c:v>
                </c:pt>
                <c:pt idx="492">
                  <c:v>90.9117291470035</c:v>
                </c:pt>
                <c:pt idx="493">
                  <c:v>90.890979263958</c:v>
                </c:pt>
                <c:pt idx="494">
                  <c:v>90.8707014652723</c:v>
                </c:pt>
                <c:pt idx="495">
                  <c:v>90.8508850210513</c:v>
                </c:pt>
                <c:pt idx="496">
                  <c:v>90.8315194445708</c:v>
                </c:pt>
                <c:pt idx="497">
                  <c:v>90.8125944868139</c:v>
                </c:pt>
                <c:pt idx="498">
                  <c:v>90.794100131127</c:v>
                </c:pt>
                <c:pt idx="499">
                  <c:v>90.7760265879921</c:v>
                </c:pt>
                <c:pt idx="500">
                  <c:v>90.7583642899154</c:v>
                </c:pt>
                <c:pt idx="501">
                  <c:v>90.7411038864273</c:v>
                </c:pt>
                <c:pt idx="502">
                  <c:v>90.7242362391928</c:v>
                </c:pt>
                <c:pt idx="503">
                  <c:v>90.7077524172301</c:v>
                </c:pt>
                <c:pt idx="504">
                  <c:v>90.6916436922348</c:v>
                </c:pt>
                <c:pt idx="505">
                  <c:v>90.6759015340075</c:v>
                </c:pt>
                <c:pt idx="506">
                  <c:v>90.6605176059825</c:v>
                </c:pt>
                <c:pt idx="507">
                  <c:v>90.6454837608564</c:v>
                </c:pt>
                <c:pt idx="508">
                  <c:v>90.6307920363132</c:v>
                </c:pt>
                <c:pt idx="509">
                  <c:v>90.6164346508446</c:v>
                </c:pt>
                <c:pt idx="510">
                  <c:v>90.6024039996637</c:v>
                </c:pt>
                <c:pt idx="511">
                  <c:v>90.5886926507092</c:v>
                </c:pt>
                <c:pt idx="512">
                  <c:v>90.5752933407395</c:v>
                </c:pt>
                <c:pt idx="513">
                  <c:v>90.5621989715129</c:v>
                </c:pt>
                <c:pt idx="514">
                  <c:v>90.5494026060545</c:v>
                </c:pt>
                <c:pt idx="515">
                  <c:v>90.5368974650058</c:v>
                </c:pt>
                <c:pt idx="516">
                  <c:v>90.5246769230557</c:v>
                </c:pt>
                <c:pt idx="517">
                  <c:v>90.5127345054526</c:v>
                </c:pt>
                <c:pt idx="518">
                  <c:v>90.5010638845936</c:v>
                </c:pt>
                <c:pt idx="519">
                  <c:v>90.4896588766906</c:v>
                </c:pt>
                <c:pt idx="520">
                  <c:v>90.4785134385117</c:v>
                </c:pt>
                <c:pt idx="521">
                  <c:v>90.4676216641947</c:v>
                </c:pt>
                <c:pt idx="522">
                  <c:v>90.4569777821337</c:v>
                </c:pt>
                <c:pt idx="523">
                  <c:v>90.4465761519343</c:v>
                </c:pt>
                <c:pt idx="524">
                  <c:v>90.4364112614382</c:v>
                </c:pt>
                <c:pt idx="525">
                  <c:v>90.4264777238145</c:v>
                </c:pt>
                <c:pt idx="526">
                  <c:v>90.4167702747166</c:v>
                </c:pt>
                <c:pt idx="527">
                  <c:v>90.4072837695031</c:v>
                </c:pt>
                <c:pt idx="528">
                  <c:v>90.3980131805211</c:v>
                </c:pt>
                <c:pt idx="529">
                  <c:v>90.3889535944518</c:v>
                </c:pt>
                <c:pt idx="530">
                  <c:v>90.3801002097145</c:v>
                </c:pt>
                <c:pt idx="531">
                  <c:v>90.3714483339301</c:v>
                </c:pt>
                <c:pt idx="532">
                  <c:v>90.3629933814422</c:v>
                </c:pt>
                <c:pt idx="533">
                  <c:v>90.3547308708932</c:v>
                </c:pt>
                <c:pt idx="534">
                  <c:v>90.3466564228563</c:v>
                </c:pt>
                <c:pt idx="535">
                  <c:v>90.3387657575197</c:v>
                </c:pt>
                <c:pt idx="536">
                  <c:v>90.3310546924246</c:v>
                </c:pt>
                <c:pt idx="537">
                  <c:v>90.3235191402535</c:v>
                </c:pt>
                <c:pt idx="538">
                  <c:v>90.3161551066685</c:v>
                </c:pt>
                <c:pt idx="539">
                  <c:v>90.3089586881989</c:v>
                </c:pt>
                <c:pt idx="540">
                  <c:v>90.3019260701768</c:v>
                </c:pt>
                <c:pt idx="541">
                  <c:v>90.2950535247185</c:v>
                </c:pt>
              </c:numCache>
            </c:numRef>
          </c:yVal>
          <c:smooth val="1"/>
        </c:ser>
        <c:dLbls>
          <c:showLegendKey val="0"/>
          <c:showVal val="0"/>
          <c:showCatName val="0"/>
          <c:showSerName val="0"/>
          <c:showPercent val="0"/>
          <c:showBubbleSize val="0"/>
        </c:dLbls>
        <c:axId val="175568384"/>
        <c:axId val="175566848"/>
      </c:scatterChart>
      <c:valAx>
        <c:axId val="17555865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0576"/>
        <c:crosses val="autoZero"/>
        <c:crossBetween val="midCat"/>
      </c:valAx>
      <c:valAx>
        <c:axId val="17556057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58656"/>
        <c:crosses val="autoZero"/>
        <c:crossBetween val="midCat"/>
        <c:majorUnit val="20"/>
        <c:minorUnit val="10"/>
      </c:valAx>
      <c:valAx>
        <c:axId val="175568384"/>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6848"/>
        <c:crosses val="autoZero"/>
        <c:crossBetween val="midCat"/>
      </c:valAx>
      <c:valAx>
        <c:axId val="175566848"/>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8384"/>
        <c:crosses val="max"/>
        <c:crossBetween val="midCat"/>
        <c:majorUnit val="90"/>
        <c:minorUnit val="45"/>
      </c:valAx>
    </c:plotArea>
    <c:legend>
      <c:legendPos val="r"/>
      <c:layout>
        <c:manualLayout>
          <c:xMode val="edge"/>
          <c:yMode val="edge"/>
          <c:x val="0.798805582095125"/>
          <c:y val="0.14321997959862"/>
          <c:w val="0.134850481555914"/>
          <c:h val="0.105286249699137"/>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51ba628-39a9-4006-b0f5-1dd1637f385b}"/>
      </c:ext>
    </c:extLst>
  </c:chart>
  <c:txPr>
    <a:bodyPr/>
    <a:lstStyle/>
    <a:p>
      <a:pPr>
        <a:defRPr lang="pl-PL"/>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CCM Control Loop Transfer Function</a:t>
            </a:r>
            <a:endParaRPr lang="en-US" baseline="0"/>
          </a:p>
        </c:rich>
      </c:tx>
      <c:layout/>
      <c:overlay val="0"/>
    </c:title>
    <c:autoTitleDeleted val="0"/>
    <c:plotArea>
      <c:layout/>
      <c:scatterChart>
        <c:scatterStyle val="smooth"/>
        <c:varyColors val="0"/>
        <c:ser>
          <c:idx val="0"/>
          <c:order val="0"/>
          <c:tx>
            <c:strRef>
              <c:f>"Gain (dB)"</c:f>
              <c:strCache>
                <c:ptCount val="1"/>
                <c:pt idx="0">
                  <c:v>Gain (dB)</c:v>
                </c:pt>
              </c:strCache>
            </c:strRef>
          </c:tx>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Loop_Modeling!$BG$19:$BG$560</c:f>
              <c:numCache>
                <c:formatCode>0.000</c:formatCode>
                <c:ptCount val="542"/>
                <c:pt idx="0">
                  <c:v>54.524655454484</c:v>
                </c:pt>
                <c:pt idx="1">
                  <c:v>54.2976400827842</c:v>
                </c:pt>
                <c:pt idx="2">
                  <c:v>54.0695338638402</c:v>
                </c:pt>
                <c:pt idx="3">
                  <c:v>53.8403003831665</c:v>
                </c:pt>
                <c:pt idx="4">
                  <c:v>53.6099026311662</c:v>
                </c:pt>
                <c:pt idx="5">
                  <c:v>53.3783030450287</c:v>
                </c:pt>
                <c:pt idx="6">
                  <c:v>53.1454635553076</c:v>
                </c:pt>
                <c:pt idx="7">
                  <c:v>52.9113456373044</c:v>
                </c:pt>
                <c:pt idx="8">
                  <c:v>52.6759103673579</c:v>
                </c:pt>
                <c:pt idx="9">
                  <c:v>52.4391184841172</c:v>
                </c:pt>
                <c:pt idx="10">
                  <c:v>52.200930454837</c:v>
                </c:pt>
                <c:pt idx="11">
                  <c:v>51.96130654671</c:v>
                </c:pt>
                <c:pt idx="12">
                  <c:v>51.720206903208</c:v>
                </c:pt>
                <c:pt idx="13">
                  <c:v>51.4775916253608</c:v>
                </c:pt>
                <c:pt idx="14">
                  <c:v>51.2334208578681</c:v>
                </c:pt>
                <c:pt idx="15">
                  <c:v>50.9876548798796</c:v>
                </c:pt>
                <c:pt idx="16">
                  <c:v>50.740254200245</c:v>
                </c:pt>
                <c:pt idx="17">
                  <c:v>50.4911796569718</c:v>
                </c:pt>
                <c:pt idx="18">
                  <c:v>50.2403925205856</c:v>
                </c:pt>
                <c:pt idx="19">
                  <c:v>49.9878546010317</c:v>
                </c:pt>
                <c:pt idx="20">
                  <c:v>49.7335283577034</c:v>
                </c:pt>
                <c:pt idx="21">
                  <c:v>49.4773770121315</c:v>
                </c:pt>
                <c:pt idx="22">
                  <c:v>49.2193646628176</c:v>
                </c:pt>
                <c:pt idx="23">
                  <c:v>48.959456401646</c:v>
                </c:pt>
                <c:pt idx="24">
                  <c:v>48.6976184312628</c:v>
                </c:pt>
                <c:pt idx="25">
                  <c:v>48.4338181827687</c:v>
                </c:pt>
                <c:pt idx="26">
                  <c:v>48.1680244330379</c:v>
                </c:pt>
                <c:pt idx="27">
                  <c:v>47.9002074209416</c:v>
                </c:pt>
                <c:pt idx="28">
                  <c:v>47.6303389617324</c:v>
                </c:pt>
                <c:pt idx="29">
                  <c:v>47.358392558829</c:v>
                </c:pt>
                <c:pt idx="30">
                  <c:v>47.0843435122325</c:v>
                </c:pt>
                <c:pt idx="31">
                  <c:v>46.8081690228037</c:v>
                </c:pt>
                <c:pt idx="32">
                  <c:v>46.5298482916444</c:v>
                </c:pt>
                <c:pt idx="33">
                  <c:v>46.2493626138383</c:v>
                </c:pt>
                <c:pt idx="34">
                  <c:v>45.9666954658429</c:v>
                </c:pt>
                <c:pt idx="35">
                  <c:v>45.6818325858555</c:v>
                </c:pt>
                <c:pt idx="36">
                  <c:v>45.3947620465267</c:v>
                </c:pt>
                <c:pt idx="37">
                  <c:v>45.1054743194516</c:v>
                </c:pt>
                <c:pt idx="38">
                  <c:v>44.8139623309309</c:v>
                </c:pt>
                <c:pt idx="39">
                  <c:v>44.5202215085681</c:v>
                </c:pt>
                <c:pt idx="40">
                  <c:v>44.2242498183475</c:v>
                </c:pt>
                <c:pt idx="41">
                  <c:v>43.9260477919197</c:v>
                </c:pt>
                <c:pt idx="42">
                  <c:v>43.6256185439127</c:v>
                </c:pt>
                <c:pt idx="43">
                  <c:v>43.3229677791759</c:v>
                </c:pt>
                <c:pt idx="44">
                  <c:v>43.0181037899554</c:v>
                </c:pt>
                <c:pt idx="45">
                  <c:v>42.7110374430966</c:v>
                </c:pt>
                <c:pt idx="46">
                  <c:v>42.4017821574572</c:v>
                </c:pt>
                <c:pt idx="47">
                  <c:v>42.0903538718027</c:v>
                </c:pt>
                <c:pt idx="48">
                  <c:v>41.7767710035457</c:v>
                </c:pt>
                <c:pt idx="49">
                  <c:v>41.4610543987629</c:v>
                </c:pt>
                <c:pt idx="50">
                  <c:v>41.1432272740016</c:v>
                </c:pt>
                <c:pt idx="51">
                  <c:v>40.8233151504526</c:v>
                </c:pt>
                <c:pt idx="52">
                  <c:v>40.5013457811196</c:v>
                </c:pt>
                <c:pt idx="53">
                  <c:v>40.1773490716701</c:v>
                </c:pt>
                <c:pt idx="54">
                  <c:v>39.8513569956846</c:v>
                </c:pt>
                <c:pt idx="55">
                  <c:v>39.5234035050581</c:v>
                </c:pt>
                <c:pt idx="56">
                  <c:v>39.19352443632</c:v>
                </c:pt>
                <c:pt idx="57">
                  <c:v>38.861757413655</c:v>
                </c:pt>
                <c:pt idx="58">
                  <c:v>38.5281417494048</c:v>
                </c:pt>
                <c:pt idx="59">
                  <c:v>38.1927183428238</c:v>
                </c:pt>
                <c:pt idx="60">
                  <c:v>37.8555295778454</c:v>
                </c:pt>
                <c:pt idx="61">
                  <c:v>37.5166192205919</c:v>
                </c:pt>
                <c:pt idx="62">
                  <c:v>37.176032317329</c:v>
                </c:pt>
                <c:pt idx="63">
                  <c:v>36.8338150935298</c:v>
                </c:pt>
                <c:pt idx="64">
                  <c:v>36.4900148546709</c:v>
                </c:pt>
                <c:pt idx="65">
                  <c:v>36.1446798893359</c:v>
                </c:pt>
                <c:pt idx="66">
                  <c:v>35.7978593751521</c:v>
                </c:pt>
                <c:pt idx="67">
                  <c:v>35.4496032880332</c:v>
                </c:pt>
                <c:pt idx="68">
                  <c:v>35.0999623151465</c:v>
                </c:pt>
                <c:pt idx="69">
                  <c:v>34.748987771968</c:v>
                </c:pt>
                <c:pt idx="70">
                  <c:v>34.3967315237328</c:v>
                </c:pt>
                <c:pt idx="71">
                  <c:v>34.0432459115345</c:v>
                </c:pt>
                <c:pt idx="72">
                  <c:v>33.6885836832702</c:v>
                </c:pt>
                <c:pt idx="73">
                  <c:v>33.3327979295799</c:v>
                </c:pt>
                <c:pt idx="74">
                  <c:v>32.9759420248742</c:v>
                </c:pt>
                <c:pt idx="75">
                  <c:v>32.6180695735004</c:v>
                </c:pt>
                <c:pt idx="76">
                  <c:v>32.259234361048</c:v>
                </c:pt>
                <c:pt idx="77">
                  <c:v>31.8994903107549</c:v>
                </c:pt>
                <c:pt idx="78">
                  <c:v>31.5388914449346</c:v>
                </c:pt>
                <c:pt idx="79">
                  <c:v>31.1774918513106</c:v>
                </c:pt>
                <c:pt idx="80">
                  <c:v>30.8153456541073</c:v>
                </c:pt>
                <c:pt idx="81">
                  <c:v>30.4525069897191</c:v>
                </c:pt>
                <c:pt idx="82">
                  <c:v>30.0890299867538</c:v>
                </c:pt>
                <c:pt idx="83">
                  <c:v>29.7249687502164</c:v>
                </c:pt>
                <c:pt idx="84">
                  <c:v>29.3603773495847</c:v>
                </c:pt>
                <c:pt idx="85">
                  <c:v>28.9953098105033</c:v>
                </c:pt>
                <c:pt idx="86">
                  <c:v>28.6298201098104</c:v>
                </c:pt>
                <c:pt idx="87">
                  <c:v>28.2639621735943</c:v>
                </c:pt>
                <c:pt idx="88">
                  <c:v>27.8977898779661</c:v>
                </c:pt>
                <c:pt idx="89">
                  <c:v>27.5313570522234</c:v>
                </c:pt>
                <c:pt idx="90">
                  <c:v>27.1647174840729</c:v>
                </c:pt>
                <c:pt idx="91">
                  <c:v>26.7979249265708</c:v>
                </c:pt>
                <c:pt idx="92">
                  <c:v>26.4310331064345</c:v>
                </c:pt>
                <c:pt idx="93">
                  <c:v>26.0640957333765</c:v>
                </c:pt>
                <c:pt idx="94">
                  <c:v>25.6971665101063</c:v>
                </c:pt>
                <c:pt idx="95">
                  <c:v>25.3302991426438</c:v>
                </c:pt>
                <c:pt idx="96">
                  <c:v>24.9635473505899</c:v>
                </c:pt>
                <c:pt idx="97">
                  <c:v>24.5969648769957</c:v>
                </c:pt>
                <c:pt idx="98">
                  <c:v>24.2306054974765</c:v>
                </c:pt>
                <c:pt idx="99">
                  <c:v>23.8645230282183</c:v>
                </c:pt>
                <c:pt idx="100">
                  <c:v>23.4987713325249</c:v>
                </c:pt>
                <c:pt idx="101">
                  <c:v>23.1334043255652</c:v>
                </c:pt>
                <c:pt idx="102">
                  <c:v>22.7684759769782</c:v>
                </c:pt>
                <c:pt idx="103">
                  <c:v>22.4040403110078</c:v>
                </c:pt>
                <c:pt idx="104">
                  <c:v>22.0401514038434</c:v>
                </c:pt>
                <c:pt idx="105">
                  <c:v>21.6768633778566</c:v>
                </c:pt>
                <c:pt idx="106">
                  <c:v>21.3142303924367</c:v>
                </c:pt>
                <c:pt idx="107">
                  <c:v>20.9523066311402</c:v>
                </c:pt>
                <c:pt idx="108">
                  <c:v>20.5911462848893</c:v>
                </c:pt>
                <c:pt idx="109">
                  <c:v>20.2308035309742</c:v>
                </c:pt>
                <c:pt idx="110">
                  <c:v>19.8713325076333</c:v>
                </c:pt>
                <c:pt idx="111">
                  <c:v>19.5127872840146</c:v>
                </c:pt>
                <c:pt idx="112">
                  <c:v>19.1552218253475</c:v>
                </c:pt>
                <c:pt idx="113">
                  <c:v>18.7986899531826</c:v>
                </c:pt>
                <c:pt idx="114">
                  <c:v>18.4432453005991</c:v>
                </c:pt>
                <c:pt idx="115">
                  <c:v>18.0889412623048</c:v>
                </c:pt>
                <c:pt idx="116">
                  <c:v>17.7358309396084</c:v>
                </c:pt>
                <c:pt idx="117">
                  <c:v>17.3839670802709</c:v>
                </c:pt>
                <c:pt idx="118">
                  <c:v>17.0334020133048</c:v>
                </c:pt>
                <c:pt idx="119">
                  <c:v>16.684187578825</c:v>
                </c:pt>
                <c:pt idx="120">
                  <c:v>16.3363750531174</c:v>
                </c:pt>
                <c:pt idx="121">
                  <c:v>15.9900150691329</c:v>
                </c:pt>
                <c:pt idx="122">
                  <c:v>15.645157532682</c:v>
                </c:pt>
                <c:pt idx="123">
                  <c:v>15.3018515346457</c:v>
                </c:pt>
                <c:pt idx="124">
                  <c:v>14.9601452595882</c:v>
                </c:pt>
                <c:pt idx="125">
                  <c:v>14.6200858911996</c:v>
                </c:pt>
                <c:pt idx="126">
                  <c:v>14.2817195150615</c:v>
                </c:pt>
                <c:pt idx="127">
                  <c:v>13.945091019273</c:v>
                </c:pt>
                <c:pt idx="128">
                  <c:v>13.6102439935255</c:v>
                </c:pt>
                <c:pt idx="129">
                  <c:v>13.2772206272645</c:v>
                </c:pt>
                <c:pt idx="130">
                  <c:v>12.9460616076118</c:v>
                </c:pt>
                <c:pt idx="131">
                  <c:v>12.6168060177603</c:v>
                </c:pt>
                <c:pt idx="132">
                  <c:v>12.2894912365824</c:v>
                </c:pt>
                <c:pt idx="133">
                  <c:v>11.9641528402146</c:v>
                </c:pt>
                <c:pt idx="134">
                  <c:v>11.6408245063953</c:v>
                </c:pt>
                <c:pt idx="135">
                  <c:v>11.3195379223384</c:v>
                </c:pt>
                <c:pt idx="136">
                  <c:v>11.0003226969212</c:v>
                </c:pt>
                <c:pt idx="137">
                  <c:v>10.6832062779557</c:v>
                </c:pt>
                <c:pt idx="138">
                  <c:v>10.3682138752839</c:v>
                </c:pt>
                <c:pt idx="139">
                  <c:v>10.0553683904128</c:v>
                </c:pt>
                <c:pt idx="140">
                  <c:v>9.74469035335632</c:v>
                </c:pt>
                <c:pt idx="141">
                  <c:v>9.43619786730732</c:v>
                </c:pt>
                <c:pt idx="142">
                  <c:v>9.12990656169729</c:v>
                </c:pt>
                <c:pt idx="143">
                  <c:v>8.8258295541388</c:v>
                </c:pt>
                <c:pt idx="144">
                  <c:v>8.52397742166574</c:v>
                </c:pt>
                <c:pt idx="145">
                  <c:v>8.22435818161273</c:v>
                </c:pt>
                <c:pt idx="146">
                  <c:v>7.926977282381</c:v>
                </c:pt>
                <c:pt idx="147">
                  <c:v>7.6318376042555</c:v>
                </c:pt>
                <c:pt idx="148">
                  <c:v>7.33893947034256</c:v>
                </c:pt>
                <c:pt idx="149">
                  <c:v>7.04828066760385</c:v>
                </c:pt>
                <c:pt idx="150">
                  <c:v>6.75985647787405</c:v>
                </c:pt>
                <c:pt idx="151">
                  <c:v>6.47365971865454</c:v>
                </c:pt>
                <c:pt idx="152">
                  <c:v>6.18968079339083</c:v>
                </c:pt>
                <c:pt idx="153">
                  <c:v>5.90790775085973</c:v>
                </c:pt>
                <c:pt idx="154">
                  <c:v>5.62832635321228</c:v>
                </c:pt>
                <c:pt idx="155">
                  <c:v>5.3509201521516</c:v>
                </c:pt>
                <c:pt idx="156">
                  <c:v>5.07567057266152</c:v>
                </c:pt>
                <c:pt idx="157">
                  <c:v>4.8025570036472</c:v>
                </c:pt>
                <c:pt idx="158">
                  <c:v>4.53155689480519</c:v>
                </c:pt>
                <c:pt idx="159">
                  <c:v>4.26264585900639</c:v>
                </c:pt>
                <c:pt idx="160">
                  <c:v>3.99579777944611</c:v>
                </c:pt>
                <c:pt idx="161">
                  <c:v>3.73098492080253</c:v>
                </c:pt>
                <c:pt idx="162">
                  <c:v>3.46817804363744</c:v>
                </c:pt>
                <c:pt idx="163">
                  <c:v>3.20734652127412</c:v>
                </c:pt>
                <c:pt idx="164">
                  <c:v>2.94845845839964</c:v>
                </c:pt>
                <c:pt idx="165">
                  <c:v>2.6914808106565</c:v>
                </c:pt>
                <c:pt idx="166">
                  <c:v>2.43637950451706</c:v>
                </c:pt>
                <c:pt idx="167">
                  <c:v>2.18311955676099</c:v>
                </c:pt>
                <c:pt idx="168">
                  <c:v>1.93166519292437</c:v>
                </c:pt>
                <c:pt idx="169">
                  <c:v>1.68197996411837</c:v>
                </c:pt>
                <c:pt idx="170">
                  <c:v>1.43402686167601</c:v>
                </c:pt>
                <c:pt idx="171">
                  <c:v>1.18776842912397</c:v>
                </c:pt>
                <c:pt idx="172">
                  <c:v>0.943166871033378</c:v>
                </c:pt>
                <c:pt idx="173">
                  <c:v>0.700184158357782</c:v>
                </c:pt>
                <c:pt idx="174">
                  <c:v>0.458782129912431</c:v>
                </c:pt>
                <c:pt idx="175">
                  <c:v>0.218922589711378</c:v>
                </c:pt>
                <c:pt idx="176">
                  <c:v>-0.0194326000782219</c:v>
                </c:pt>
                <c:pt idx="177">
                  <c:v>-0.256321430749106</c:v>
                </c:pt>
                <c:pt idx="178">
                  <c:v>-0.491781663372301</c:v>
                </c:pt>
                <c:pt idx="179">
                  <c:v>-0.725850749914895</c:v>
                </c:pt>
                <c:pt idx="180">
                  <c:v>-0.958565759205924</c:v>
                </c:pt>
                <c:pt idx="181">
                  <c:v>-1.18996330776053</c:v>
                </c:pt>
                <c:pt idx="182">
                  <c:v>-1.42007949543573</c:v>
                </c:pt>
                <c:pt idx="183">
                  <c:v>-1.64894984585875</c:v>
                </c:pt>
                <c:pt idx="184">
                  <c:v>-1.87660925153673</c:v>
                </c:pt>
                <c:pt idx="185">
                  <c:v>-2.10309192353426</c:v>
                </c:pt>
                <c:pt idx="186">
                  <c:v>-2.32843134557749</c:v>
                </c:pt>
                <c:pt idx="187">
                  <c:v>-2.55266023242791</c:v>
                </c:pt>
                <c:pt idx="188">
                  <c:v>-2.77581049235065</c:v>
                </c:pt>
                <c:pt idx="189">
                  <c:v>-2.99791319348706</c:v>
                </c:pt>
                <c:pt idx="190">
                  <c:v>-3.21899853393516</c:v>
                </c:pt>
                <c:pt idx="191">
                  <c:v>-3.43909581532757</c:v>
                </c:pt>
                <c:pt idx="192">
                  <c:v>-3.65823341969588</c:v>
                </c:pt>
                <c:pt idx="193">
                  <c:v>-3.87643878940441</c:v>
                </c:pt>
                <c:pt idx="194">
                  <c:v>-4.09373840993502</c:v>
                </c:pt>
                <c:pt idx="195">
                  <c:v>-4.31015779530671</c:v>
                </c:pt>
                <c:pt idx="196">
                  <c:v>-4.52572147591276</c:v>
                </c:pt>
                <c:pt idx="197">
                  <c:v>-4.7404529885644</c:v>
                </c:pt>
                <c:pt idx="198">
                  <c:v>-4.95437486853399</c:v>
                </c:pt>
                <c:pt idx="199">
                  <c:v>-5.16750864339258</c:v>
                </c:pt>
                <c:pt idx="200">
                  <c:v>-5.37987482845142</c:v>
                </c:pt>
                <c:pt idx="201">
                  <c:v>-5.59149292361419</c:v>
                </c:pt>
                <c:pt idx="202">
                  <c:v>-5.80238141146115</c:v>
                </c:pt>
                <c:pt idx="203">
                  <c:v>-6.0125577563944</c:v>
                </c:pt>
                <c:pt idx="204">
                  <c:v>-6.22203840467769</c:v>
                </c:pt>
                <c:pt idx="205">
                  <c:v>-6.43083878521766</c:v>
                </c:pt>
                <c:pt idx="206">
                  <c:v>-6.63897331093866</c:v>
                </c:pt>
                <c:pt idx="207">
                  <c:v>-6.84645538061597</c:v>
                </c:pt>
                <c:pt idx="208">
                  <c:v>-7.05329738103847</c:v>
                </c:pt>
                <c:pt idx="209">
                  <c:v>-7.25951068938051</c:v>
                </c:pt>
                <c:pt idx="210">
                  <c:v>-7.46510567567519</c:v>
                </c:pt>
                <c:pt idx="211">
                  <c:v>-7.67009170528646</c:v>
                </c:pt>
                <c:pt idx="212">
                  <c:v>-7.87447714128713</c:v>
                </c:pt>
                <c:pt idx="213">
                  <c:v>-8.07826934666032</c:v>
                </c:pt>
                <c:pt idx="214">
                  <c:v>-8.28147468624724</c:v>
                </c:pt>
                <c:pt idx="215">
                  <c:v>-8.4840985283764</c:v>
                </c:pt>
                <c:pt idx="216">
                  <c:v>-8.68614524611185</c:v>
                </c:pt>
                <c:pt idx="217">
                  <c:v>-8.88761821807379</c:v>
                </c:pt>
                <c:pt idx="218">
                  <c:v>-9.08851982878484</c:v>
                </c:pt>
                <c:pt idx="219">
                  <c:v>-9.28885146850907</c:v>
                </c:pt>
                <c:pt idx="220">
                  <c:v>-9.48861353255552</c:v>
                </c:pt>
                <c:pt idx="221">
                  <c:v>-9.68780542002751</c:v>
                </c:pt>
                <c:pt idx="222">
                  <c:v>-9.88642553200397</c:v>
                </c:pt>
                <c:pt idx="223">
                  <c:v>-10.0844712691507</c:v>
                </c:pt>
                <c:pt idx="224">
                  <c:v>-10.2819390287644</c:v>
                </c:pt>
                <c:pt idx="225">
                  <c:v>-10.4788242012603</c:v>
                </c:pt>
                <c:pt idx="226">
                  <c:v>-10.6751211661233</c:v>
                </c:pt>
                <c:pt idx="227">
                  <c:v>-10.8708232873507</c:v>
                </c:pt>
                <c:pt idx="228">
                  <c:v>-11.0659229084207</c:v>
                </c:pt>
                <c:pt idx="229">
                  <c:v>-11.2604113468332</c:v>
                </c:pt>
                <c:pt idx="230">
                  <c:v>-11.4542788882737</c:v>
                </c:pt>
                <c:pt idx="231">
                  <c:v>-11.6475147804624</c:v>
                </c:pt>
                <c:pt idx="232">
                  <c:v>-11.8401072267622</c:v>
                </c:pt>
                <c:pt idx="233">
                  <c:v>-12.0320433796224</c:v>
                </c:pt>
                <c:pt idx="234">
                  <c:v>-12.2233093339512</c:v>
                </c:pt>
                <c:pt idx="235">
                  <c:v>-12.4138901205176</c:v>
                </c:pt>
                <c:pt idx="236">
                  <c:v>-12.6037696994929</c:v>
                </c:pt>
                <c:pt idx="237">
                  <c:v>-12.7929309542541</c:v>
                </c:pt>
                <c:pt idx="238">
                  <c:v>-12.9813556855838</c:v>
                </c:pt>
                <c:pt idx="239">
                  <c:v>-13.1690246064093</c:v>
                </c:pt>
                <c:pt idx="240">
                  <c:v>-13.3559173372398</c:v>
                </c:pt>
                <c:pt idx="241">
                  <c:v>-13.5420124024677</c:v>
                </c:pt>
                <c:pt idx="242">
                  <c:v>-13.7272872277179</c:v>
                </c:pt>
                <c:pt idx="243">
                  <c:v>-13.9117181384349</c:v>
                </c:pt>
                <c:pt idx="244">
                  <c:v>-14.0952803599172</c:v>
                </c:pt>
                <c:pt idx="245">
                  <c:v>-14.2779480190122</c:v>
                </c:pt>
                <c:pt idx="246">
                  <c:v>-14.4596941477069</c:v>
                </c:pt>
                <c:pt idx="247">
                  <c:v>-14.6404906888533</c:v>
                </c:pt>
                <c:pt idx="248">
                  <c:v>-14.8203085042822</c:v>
                </c:pt>
                <c:pt idx="249">
                  <c:v>-14.9991173855732</c:v>
                </c:pt>
                <c:pt idx="250">
                  <c:v>-15.1768860677512</c:v>
                </c:pt>
                <c:pt idx="251">
                  <c:v>-15.3535822461974</c:v>
                </c:pt>
                <c:pt idx="252">
                  <c:v>-15.5291725970653</c:v>
                </c:pt>
                <c:pt idx="253">
                  <c:v>-15.7036228014988</c:v>
                </c:pt>
                <c:pt idx="254">
                  <c:v>-15.8768975739594</c:v>
                </c:pt>
                <c:pt idx="255">
                  <c:v>-16.0489606949637</c:v>
                </c:pt>
                <c:pt idx="256">
                  <c:v>-16.2197750485433</c:v>
                </c:pt>
                <c:pt idx="257">
                  <c:v>-16.3893026647249</c:v>
                </c:pt>
                <c:pt idx="258">
                  <c:v>-16.5575047673358</c:v>
                </c:pt>
                <c:pt idx="259">
                  <c:v>-16.72434182742</c:v>
                </c:pt>
                <c:pt idx="260">
                  <c:v>-16.8897736225463</c:v>
                </c:pt>
                <c:pt idx="261">
                  <c:v>-17.0537593022675</c:v>
                </c:pt>
                <c:pt idx="262">
                  <c:v>-17.2162574599739</c:v>
                </c:pt>
                <c:pt idx="263">
                  <c:v>-17.3772262113538</c:v>
                </c:pt>
                <c:pt idx="264">
                  <c:v>-17.5366232796485</c:v>
                </c:pt>
                <c:pt idx="265">
                  <c:v>-17.69440608785</c:v>
                </c:pt>
                <c:pt idx="266">
                  <c:v>-17.8505318579493</c:v>
                </c:pt>
                <c:pt idx="267">
                  <c:v>-18.0049577172982</c:v>
                </c:pt>
                <c:pt idx="268">
                  <c:v>-18.1576408120921</c:v>
                </c:pt>
                <c:pt idx="269">
                  <c:v>-18.3085384279278</c:v>
                </c:pt>
                <c:pt idx="270">
                  <c:v>-18.4576081173223</c:v>
                </c:pt>
                <c:pt idx="271">
                  <c:v>-18.6048078340122</c:v>
                </c:pt>
                <c:pt idx="272">
                  <c:v>-18.7500960737816</c:v>
                </c:pt>
                <c:pt idx="273">
                  <c:v>-18.8934320214825</c:v>
                </c:pt>
                <c:pt idx="274">
                  <c:v>-19.0347757038371</c:v>
                </c:pt>
                <c:pt idx="275">
                  <c:v>-19.174088147521</c:v>
                </c:pt>
                <c:pt idx="276">
                  <c:v>-19.3113315419395</c:v>
                </c:pt>
                <c:pt idx="277">
                  <c:v>-19.4464694060266</c:v>
                </c:pt>
                <c:pt idx="278">
                  <c:v>-19.5794667582982</c:v>
                </c:pt>
                <c:pt idx="279">
                  <c:v>-19.7102902893147</c:v>
                </c:pt>
                <c:pt idx="280">
                  <c:v>-19.8389085356171</c:v>
                </c:pt>
                <c:pt idx="281">
                  <c:v>-19.9652920541239</c:v>
                </c:pt>
                <c:pt idx="282">
                  <c:v>-20.0894135959037</c:v>
                </c:pt>
                <c:pt idx="283">
                  <c:v>-20.2112482781717</c:v>
                </c:pt>
                <c:pt idx="284">
                  <c:v>-20.3307737533019</c:v>
                </c:pt>
                <c:pt idx="285">
                  <c:v>-20.4479703736047</c:v>
                </c:pt>
                <c:pt idx="286">
                  <c:v>-20.5628213505839</c:v>
                </c:pt>
                <c:pt idx="287">
                  <c:v>-20.6753129073738</c:v>
                </c:pt>
                <c:pt idx="288">
                  <c:v>-20.7854344230516</c:v>
                </c:pt>
                <c:pt idx="289">
                  <c:v>-20.8931785675364</c:v>
                </c:pt>
                <c:pt idx="290">
                  <c:v>-20.9985414258213</c:v>
                </c:pt>
                <c:pt idx="291">
                  <c:v>-21.1015226103304</c:v>
                </c:pt>
                <c:pt idx="292">
                  <c:v>-21.2021253602687</c:v>
                </c:pt>
                <c:pt idx="293">
                  <c:v>-21.3003566269132</c:v>
                </c:pt>
                <c:pt idx="294">
                  <c:v>-21.3962271439068</c:v>
                </c:pt>
                <c:pt idx="295">
                  <c:v>-21.4897514817326</c:v>
                </c:pt>
                <c:pt idx="296">
                  <c:v>-21.5809480856885</c:v>
                </c:pt>
                <c:pt idx="297">
                  <c:v>-21.6698392968314</c:v>
                </c:pt>
                <c:pt idx="298">
                  <c:v>-21.7564513555262</c:v>
                </c:pt>
                <c:pt idx="299">
                  <c:v>-21.8408143874058</c:v>
                </c:pt>
                <c:pt idx="300">
                  <c:v>-21.92296237173</c:v>
                </c:pt>
                <c:pt idx="301">
                  <c:v>-22.0029330923106</c:v>
                </c:pt>
                <c:pt idx="302">
                  <c:v>-22.0807680713594</c:v>
                </c:pt>
                <c:pt idx="303">
                  <c:v>-22.1565124867897</c:v>
                </c:pt>
                <c:pt idx="304">
                  <c:v>-22.2302150736809</c:v>
                </c:pt>
                <c:pt idx="305">
                  <c:v>-22.3019280107803</c:v>
                </c:pt>
                <c:pt idx="306">
                  <c:v>-22.3717067930662</c:v>
                </c:pt>
                <c:pt idx="307">
                  <c:v>-22.4396100915367</c:v>
                </c:pt>
                <c:pt idx="308">
                  <c:v>-22.5056996015094</c:v>
                </c:pt>
                <c:pt idx="309">
                  <c:v>-22.5700398808109</c:v>
                </c:pt>
                <c:pt idx="310">
                  <c:v>-22.6326981793215</c:v>
                </c:pt>
                <c:pt idx="311">
                  <c:v>-22.6937442613905</c:v>
                </c:pt>
                <c:pt idx="312">
                  <c:v>-22.753250222672</c:v>
                </c:pt>
                <c:pt idx="313">
                  <c:v>-22.8112903029365</c:v>
                </c:pt>
                <c:pt idx="314">
                  <c:v>-22.8679406964042</c:v>
                </c:pt>
                <c:pt idx="315">
                  <c:v>-22.9232793611013</c:v>
                </c:pt>
                <c:pt idx="316">
                  <c:v>-22.9773858286858</c:v>
                </c:pt>
                <c:pt idx="317">
                  <c:v>-23.0303410161092</c:v>
                </c:pt>
                <c:pt idx="318">
                  <c:v>-23.0822270403823</c:v>
                </c:pt>
                <c:pt idx="319">
                  <c:v>-23.1331270376029</c:v>
                </c:pt>
                <c:pt idx="320">
                  <c:v>-23.1831249872786</c:v>
                </c:pt>
                <c:pt idx="321">
                  <c:v>-23.2323055428389</c:v>
                </c:pt>
                <c:pt idx="322">
                  <c:v>-23.2807538690921</c:v>
                </c:pt>
                <c:pt idx="323">
                  <c:v>-23.3285554872354</c:v>
                </c:pt>
                <c:pt idx="324">
                  <c:v>-23.3757961278725</c:v>
                </c:pt>
                <c:pt idx="325">
                  <c:v>-23.4225615923544</c:v>
                </c:pt>
                <c:pt idx="326">
                  <c:v>-23.4689376226028</c:v>
                </c:pt>
                <c:pt idx="327">
                  <c:v>-23.5150097794481</c:v>
                </c:pt>
                <c:pt idx="328">
                  <c:v>-23.5608633293749</c:v>
                </c:pt>
                <c:pt idx="329">
                  <c:v>-23.6065831394508</c:v>
                </c:pt>
                <c:pt idx="330">
                  <c:v>-23.6522535801023</c:v>
                </c:pt>
                <c:pt idx="331">
                  <c:v>-23.6979584353031</c:v>
                </c:pt>
                <c:pt idx="332">
                  <c:v>-23.7437808196597</c:v>
                </c:pt>
                <c:pt idx="333">
                  <c:v>-23.7898031018006</c:v>
                </c:pt>
                <c:pt idx="334">
                  <c:v>-23.8361068334284</c:v>
                </c:pt>
                <c:pt idx="335">
                  <c:v>-23.8827726833446</c:v>
                </c:pt>
                <c:pt idx="336">
                  <c:v>-23.9298803757335</c:v>
                </c:pt>
                <c:pt idx="337">
                  <c:v>-23.9775086319782</c:v>
                </c:pt>
                <c:pt idx="338">
                  <c:v>-24.0257351152783</c:v>
                </c:pt>
                <c:pt idx="339">
                  <c:v>-24.0746363773586</c:v>
                </c:pt>
                <c:pt idx="340">
                  <c:v>-24.1242878065754</c:v>
                </c:pt>
                <c:pt idx="341">
                  <c:v>-24.1747635767723</c:v>
                </c:pt>
                <c:pt idx="342">
                  <c:v>-24.2261365962755</c:v>
                </c:pt>
                <c:pt idx="343">
                  <c:v>-24.2784784564837</c:v>
                </c:pt>
                <c:pt idx="344">
                  <c:v>-24.3318593795665</c:v>
                </c:pt>
                <c:pt idx="345">
                  <c:v>-24.3863481648561</c:v>
                </c:pt>
                <c:pt idx="346">
                  <c:v>-24.4420121336018</c:v>
                </c:pt>
                <c:pt idx="347">
                  <c:v>-24.4989170718284</c:v>
                </c:pt>
                <c:pt idx="348">
                  <c:v>-24.5571271711329</c:v>
                </c:pt>
                <c:pt idx="349">
                  <c:v>-24.6167049673395</c:v>
                </c:pt>
                <c:pt idx="350">
                  <c:v>-24.6777112770174</c:v>
                </c:pt>
                <c:pt idx="351">
                  <c:v>-24.7402051319604</c:v>
                </c:pt>
                <c:pt idx="352">
                  <c:v>-24.8042437118079</c:v>
                </c:pt>
                <c:pt idx="353">
                  <c:v>-24.8698822750735</c:v>
                </c:pt>
                <c:pt idx="354">
                  <c:v>-24.9371740889264</c:v>
                </c:pt>
                <c:pt idx="355">
                  <c:v>-25.006170358144</c:v>
                </c:pt>
                <c:pt idx="356">
                  <c:v>-25.0769201537245</c:v>
                </c:pt>
                <c:pt idx="357">
                  <c:v>-25.1494703417044</c:v>
                </c:pt>
                <c:pt idx="358">
                  <c:v>-25.2238655127857</c:v>
                </c:pt>
                <c:pt idx="359">
                  <c:v>-25.300147913411</c:v>
                </c:pt>
                <c:pt idx="360">
                  <c:v>-25.3783573789687</c:v>
                </c:pt>
                <c:pt idx="361">
                  <c:v>-25.4585312698232</c:v>
                </c:pt>
                <c:pt idx="362">
                  <c:v>-25.5407044108857</c:v>
                </c:pt>
                <c:pt idx="363">
                  <c:v>-25.6249090354356</c:v>
                </c:pt>
                <c:pt idx="364">
                  <c:v>-25.711174733895</c:v>
                </c:pt>
                <c:pt idx="365">
                  <c:v>-25.7995284082372</c:v>
                </c:pt>
                <c:pt idx="366">
                  <c:v>-25.8899942326737</c:v>
                </c:pt>
                <c:pt idx="367">
                  <c:v>-25.9825936212272</c:v>
                </c:pt>
                <c:pt idx="368">
                  <c:v>-26.0773452027366</c:v>
                </c:pt>
                <c:pt idx="369">
                  <c:v>-26.1742648037852</c:v>
                </c:pt>
                <c:pt idx="370">
                  <c:v>-26.2733654399688</c:v>
                </c:pt>
                <c:pt idx="371">
                  <c:v>-26.3746573158427</c:v>
                </c:pt>
                <c:pt idx="372">
                  <c:v>-26.4781478338075</c:v>
                </c:pt>
                <c:pt idx="373">
                  <c:v>-26.5838416121018</c:v>
                </c:pt>
                <c:pt idx="374">
                  <c:v>-26.6917405119844</c:v>
                </c:pt>
                <c:pt idx="375">
                  <c:v>-26.8018436740935</c:v>
                </c:pt>
                <c:pt idx="376">
                  <c:v>-26.914147563883</c:v>
                </c:pt>
                <c:pt idx="377">
                  <c:v>-27.0286460259458</c:v>
                </c:pt>
                <c:pt idx="378">
                  <c:v>-27.1453303469465</c:v>
                </c:pt>
                <c:pt idx="379">
                  <c:v>-27.2641893268064</c:v>
                </c:pt>
                <c:pt idx="380">
                  <c:v>-27.3852093577102</c:v>
                </c:pt>
                <c:pt idx="381">
                  <c:v>-27.5083745104268</c:v>
                </c:pt>
                <c:pt idx="382">
                  <c:v>-27.6336666273872</c:v>
                </c:pt>
                <c:pt idx="383">
                  <c:v>-27.7610654219002</c:v>
                </c:pt>
                <c:pt idx="384">
                  <c:v>-27.8905485828472</c:v>
                </c:pt>
                <c:pt idx="385">
                  <c:v>-28.0220918841632</c:v>
                </c:pt>
                <c:pt idx="386">
                  <c:v>-28.1556692983843</c:v>
                </c:pt>
                <c:pt idx="387">
                  <c:v>-28.2912531135306</c:v>
                </c:pt>
                <c:pt idx="388">
                  <c:v>-28.4288140525808</c:v>
                </c:pt>
                <c:pt idx="389">
                  <c:v>-28.5683213948064</c:v>
                </c:pt>
                <c:pt idx="390">
                  <c:v>-28.7097430982366</c:v>
                </c:pt>
                <c:pt idx="391">
                  <c:v>-28.8530459225508</c:v>
                </c:pt>
                <c:pt idx="392">
                  <c:v>-28.9981955517155</c:v>
                </c:pt>
                <c:pt idx="393">
                  <c:v>-29.1451567157228</c:v>
                </c:pt>
                <c:pt idx="394">
                  <c:v>-29.2938933108174</c:v>
                </c:pt>
                <c:pt idx="395">
                  <c:v>-29.4443685176478</c:v>
                </c:pt>
                <c:pt idx="396">
                  <c:v>-29.5965449168202</c:v>
                </c:pt>
                <c:pt idx="397">
                  <c:v>-29.750384601384</c:v>
                </c:pt>
                <c:pt idx="398">
                  <c:v>-29.9058492858274</c:v>
                </c:pt>
                <c:pt idx="399">
                  <c:v>-30.0629004112141</c:v>
                </c:pt>
                <c:pt idx="400">
                  <c:v>-30.2214992461443</c:v>
                </c:pt>
                <c:pt idx="401">
                  <c:v>-30.3816069832743</c:v>
                </c:pt>
                <c:pt idx="402">
                  <c:v>-30.5431848311779</c:v>
                </c:pt>
                <c:pt idx="403">
                  <c:v>-30.7061941013871</c:v>
                </c:pt>
                <c:pt idx="404">
                  <c:v>-30.8705962904875</c:v>
                </c:pt>
                <c:pt idx="405">
                  <c:v>-31.0363531571975</c:v>
                </c:pt>
                <c:pt idx="406">
                  <c:v>-31.2034267943953</c:v>
                </c:pt>
                <c:pt idx="407">
                  <c:v>-31.3717796960964</c:v>
                </c:pt>
                <c:pt idx="408">
                  <c:v>-31.541374819425</c:v>
                </c:pt>
                <c:pt idx="409">
                  <c:v>-31.7121756416464</c:v>
                </c:pt>
                <c:pt idx="410">
                  <c:v>-31.8841462123628</c:v>
                </c:pt>
                <c:pt idx="411">
                  <c:v>-32.0572512009949</c:v>
                </c:pt>
                <c:pt idx="412">
                  <c:v>-32.2314559396956</c:v>
                </c:pt>
                <c:pt idx="413">
                  <c:v>-32.4067264618631</c:v>
                </c:pt>
                <c:pt idx="414">
                  <c:v>-32.5830295364284</c:v>
                </c:pt>
                <c:pt idx="415">
                  <c:v>-32.7603326981141</c:v>
                </c:pt>
                <c:pt idx="416">
                  <c:v>-32.9386042738636</c:v>
                </c:pt>
                <c:pt idx="417">
                  <c:v>-33.1178134056525</c:v>
                </c:pt>
                <c:pt idx="418">
                  <c:v>-33.2979300698929</c:v>
                </c:pt>
                <c:pt idx="419">
                  <c:v>-33.4789250936505</c:v>
                </c:pt>
                <c:pt idx="420">
                  <c:v>-33.6607701678905</c:v>
                </c:pt>
                <c:pt idx="421">
                  <c:v>-33.8434378579701</c:v>
                </c:pt>
                <c:pt idx="422">
                  <c:v>-34.026901611589</c:v>
                </c:pt>
                <c:pt idx="423">
                  <c:v>-34.2111357644134</c:v>
                </c:pt>
                <c:pt idx="424">
                  <c:v>-34.3961155435731</c:v>
                </c:pt>
                <c:pt idx="425">
                  <c:v>-34.5818170692373</c:v>
                </c:pt>
                <c:pt idx="426">
                  <c:v>-34.7682173544591</c:v>
                </c:pt>
                <c:pt idx="427">
                  <c:v>-34.9552943034754</c:v>
                </c:pt>
                <c:pt idx="428">
                  <c:v>-35.1430267086411</c:v>
                </c:pt>
                <c:pt idx="429">
                  <c:v>-35.3313942461693</c:v>
                </c:pt>
                <c:pt idx="430">
                  <c:v>-35.5203774708377</c:v>
                </c:pt>
                <c:pt idx="431">
                  <c:v>-35.7099578098154</c:v>
                </c:pt>
                <c:pt idx="432">
                  <c:v>-35.9001175557585</c:v>
                </c:pt>
                <c:pt idx="433">
                  <c:v>-36.0908398593067</c:v>
                </c:pt>
                <c:pt idx="434">
                  <c:v>-36.2821087211133</c:v>
                </c:pt>
                <c:pt idx="435">
                  <c:v>-36.4739089835278</c:v>
                </c:pt>
                <c:pt idx="436">
                  <c:v>-36.6662263220419</c:v>
                </c:pt>
                <c:pt idx="437">
                  <c:v>-36.8590472366066</c:v>
                </c:pt>
                <c:pt idx="438">
                  <c:v>-37.052359042915</c:v>
                </c:pt>
                <c:pt idx="439">
                  <c:v>-37.2461498637401</c:v>
                </c:pt>
                <c:pt idx="440">
                  <c:v>-37.4404086204127</c:v>
                </c:pt>
                <c:pt idx="441">
                  <c:v>-37.6351250245121</c:v>
                </c:pt>
                <c:pt idx="442">
                  <c:v>-37.8302895698423</c:v>
                </c:pt>
                <c:pt idx="443">
                  <c:v>-38.0258935247538</c:v>
                </c:pt>
                <c:pt idx="444">
                  <c:v>-38.2219289248707</c:v>
                </c:pt>
                <c:pt idx="445">
                  <c:v>-38.4183885662741</c:v>
                </c:pt>
                <c:pt idx="446">
                  <c:v>-38.6152659991886</c:v>
                </c:pt>
                <c:pt idx="447">
                  <c:v>-38.8125555222123</c:v>
                </c:pt>
                <c:pt idx="448">
                  <c:v>-39.0102521771284</c:v>
                </c:pt>
                <c:pt idx="449">
                  <c:v>-39.2083517443304</c:v>
                </c:pt>
                <c:pt idx="450">
                  <c:v>-39.4068507388858</c:v>
                </c:pt>
                <c:pt idx="451">
                  <c:v>-39.6057464072657</c:v>
                </c:pt>
                <c:pt idx="452">
                  <c:v>-39.8050367247562</c:v>
                </c:pt>
                <c:pt idx="453">
                  <c:v>-40.004720393569</c:v>
                </c:pt>
                <c:pt idx="454">
                  <c:v>-40.2047968416607</c:v>
                </c:pt>
                <c:pt idx="455">
                  <c:v>-40.4052662222707</c:v>
                </c:pt>
                <c:pt idx="456">
                  <c:v>-40.6061294141795</c:v>
                </c:pt>
                <c:pt idx="457">
                  <c:v>-40.8073880226874</c:v>
                </c:pt>
                <c:pt idx="458">
                  <c:v>-41.0090443813136</c:v>
                </c:pt>
                <c:pt idx="459">
                  <c:v>-41.2111015542026</c:v>
                </c:pt>
                <c:pt idx="460">
                  <c:v>-41.4135633392324</c:v>
                </c:pt>
                <c:pt idx="461">
                  <c:v>-41.6164342718052</c:v>
                </c:pt>
                <c:pt idx="462">
                  <c:v>-41.8197196293045</c:v>
                </c:pt>
                <c:pt idx="463">
                  <c:v>-42.0234254361944</c:v>
                </c:pt>
                <c:pt idx="464">
                  <c:v>-42.2275584697326</c:v>
                </c:pt>
                <c:pt idx="465">
                  <c:v>-42.4321262662689</c:v>
                </c:pt>
                <c:pt idx="466">
                  <c:v>-42.6371371280873</c:v>
                </c:pt>
                <c:pt idx="467">
                  <c:v>-42.8426001307568</c:v>
                </c:pt>
                <c:pt idx="468">
                  <c:v>-43.0485251309392</c:v>
                </c:pt>
                <c:pt idx="469">
                  <c:v>-43.2549227746052</c:v>
                </c:pt>
                <c:pt idx="470">
                  <c:v>-43.4618045056019</c:v>
                </c:pt>
                <c:pt idx="471">
                  <c:v>-43.6691825745053</c:v>
                </c:pt>
                <c:pt idx="472">
                  <c:v>-43.8770700476936</c:v>
                </c:pt>
                <c:pt idx="473">
                  <c:v>-44.08548081656</c:v>
                </c:pt>
                <c:pt idx="474">
                  <c:v>-44.294429606789</c:v>
                </c:pt>
                <c:pt idx="475">
                  <c:v>-44.5039319876002</c:v>
                </c:pt>
                <c:pt idx="476">
                  <c:v>-44.7140043808675</c:v>
                </c:pt>
                <c:pt idx="477">
                  <c:v>-44.9246640700087</c:v>
                </c:pt>
                <c:pt idx="478">
                  <c:v>-45.1359292085315</c:v>
                </c:pt>
                <c:pt idx="479">
                  <c:v>-45.3478188281182</c:v>
                </c:pt>
                <c:pt idx="480">
                  <c:v>-45.5603528461208</c:v>
                </c:pt>
                <c:pt idx="481">
                  <c:v>-45.7735520723274</c:v>
                </c:pt>
                <c:pt idx="482">
                  <c:v>-45.98743821486</c:v>
                </c:pt>
                <c:pt idx="483">
                  <c:v>-46.2020338850459</c:v>
                </c:pt>
                <c:pt idx="484">
                  <c:v>-46.4173626011053</c:v>
                </c:pt>
                <c:pt idx="485">
                  <c:v>-46.6334487904823</c:v>
                </c:pt>
                <c:pt idx="486">
                  <c:v>-46.8503177906461</c:v>
                </c:pt>
                <c:pt idx="487">
                  <c:v>-47.0679958481743</c:v>
                </c:pt>
                <c:pt idx="488">
                  <c:v>-47.2865101159296</c:v>
                </c:pt>
                <c:pt idx="489">
                  <c:v>-47.5058886481311</c:v>
                </c:pt>
                <c:pt idx="490">
                  <c:v>-47.7261603931174</c:v>
                </c:pt>
                <c:pt idx="491">
                  <c:v>-47.9473551835954</c:v>
                </c:pt>
                <c:pt idx="492">
                  <c:v>-48.1695037241624</c:v>
                </c:pt>
                <c:pt idx="493">
                  <c:v>-48.3926375758911</c:v>
                </c:pt>
                <c:pt idx="494">
                  <c:v>-48.6167891377629</c:v>
                </c:pt>
                <c:pt idx="495">
                  <c:v>-48.8419916247416</c:v>
                </c:pt>
                <c:pt idx="496">
                  <c:v>-49.0682790422748</c:v>
                </c:pt>
                <c:pt idx="497">
                  <c:v>-49.2956861570262</c:v>
                </c:pt>
                <c:pt idx="498">
                  <c:v>-49.5242484636415</c:v>
                </c:pt>
                <c:pt idx="499">
                  <c:v>-49.7540021473645</c:v>
                </c:pt>
                <c:pt idx="500">
                  <c:v>-49.9849840423368</c:v>
                </c:pt>
                <c:pt idx="501">
                  <c:v>-50.2172315854224</c:v>
                </c:pt>
                <c:pt idx="502">
                  <c:v>-50.4507827654282</c:v>
                </c:pt>
                <c:pt idx="503">
                  <c:v>-50.6856760676068</c:v>
                </c:pt>
                <c:pt idx="504">
                  <c:v>-50.9219504133564</c:v>
                </c:pt>
                <c:pt idx="505">
                  <c:v>-51.1596450950655</c:v>
                </c:pt>
                <c:pt idx="506">
                  <c:v>-51.3987997060761</c:v>
                </c:pt>
                <c:pt idx="507">
                  <c:v>-51.6394540657827</c:v>
                </c:pt>
                <c:pt idx="508">
                  <c:v>-51.8816481399216</c:v>
                </c:pt>
                <c:pt idx="509">
                  <c:v>-52.1254219561443</c:v>
                </c:pt>
                <c:pt idx="510">
                  <c:v>-52.3708155150192</c:v>
                </c:pt>
                <c:pt idx="511">
                  <c:v>-52.6178686966529</c:v>
                </c:pt>
                <c:pt idx="512">
                  <c:v>-52.86662116317</c:v>
                </c:pt>
                <c:pt idx="513">
                  <c:v>-53.1171122573443</c:v>
                </c:pt>
                <c:pt idx="514">
                  <c:v>-53.3693808977281</c:v>
                </c:pt>
                <c:pt idx="515">
                  <c:v>-53.6234654706751</c:v>
                </c:pt>
                <c:pt idx="516">
                  <c:v>-53.8794037197108</c:v>
                </c:pt>
                <c:pt idx="517">
                  <c:v>-54.1372326327528</c:v>
                </c:pt>
                <c:pt idx="518">
                  <c:v>-54.396988327732</c:v>
                </c:pt>
                <c:pt idx="519">
                  <c:v>-54.6587059372158</c:v>
                </c:pt>
                <c:pt idx="520">
                  <c:v>-54.9224194926775</c:v>
                </c:pt>
                <c:pt idx="521">
                  <c:v>-55.1881618090891</c:v>
                </c:pt>
                <c:pt idx="522">
                  <c:v>-55.4559643705551</c:v>
                </c:pt>
                <c:pt idx="523">
                  <c:v>-55.7258572177277</c:v>
                </c:pt>
                <c:pt idx="524">
                  <c:v>-55.9978688377618</c:v>
                </c:pt>
                <c:pt idx="525">
                  <c:v>-56.2720260575847</c:v>
                </c:pt>
                <c:pt idx="526">
                  <c:v>-56.54835394125</c:v>
                </c:pt>
                <c:pt idx="527">
                  <c:v>-56.82687569215</c:v>
                </c:pt>
                <c:pt idx="528">
                  <c:v>-57.1076125608347</c:v>
                </c:pt>
                <c:pt idx="529">
                  <c:v>-57.3905837591684</c:v>
                </c:pt>
                <c:pt idx="530">
                  <c:v>-57.6758063815144</c:v>
                </c:pt>
                <c:pt idx="531">
                  <c:v>-57.9632953335987</c:v>
                </c:pt>
                <c:pt idx="532">
                  <c:v>-58.2530632696486</c:v>
                </c:pt>
                <c:pt idx="533">
                  <c:v>-58.5451205383382</c:v>
                </c:pt>
                <c:pt idx="534">
                  <c:v>-58.8394751380085</c:v>
                </c:pt>
                <c:pt idx="535">
                  <c:v>-59.1361326815482</c:v>
                </c:pt>
                <c:pt idx="536">
                  <c:v>-59.4350963712414</c:v>
                </c:pt>
                <c:pt idx="537">
                  <c:v>-59.7363669838038</c:v>
                </c:pt>
                <c:pt idx="538">
                  <c:v>-60.039942865733</c:v>
                </c:pt>
                <c:pt idx="539">
                  <c:v>-60.3458199390126</c:v>
                </c:pt>
                <c:pt idx="540">
                  <c:v>-60.6539917171123</c:v>
                </c:pt>
                <c:pt idx="541">
                  <c:v>-60.9644493311365</c:v>
                </c:pt>
              </c:numCache>
            </c:numRef>
          </c:yVal>
          <c:smooth val="1"/>
        </c:ser>
        <c:dLbls>
          <c:showLegendKey val="0"/>
          <c:showVal val="0"/>
          <c:showCatName val="0"/>
          <c:showSerName val="0"/>
          <c:showPercent val="0"/>
          <c:showBubbleSize val="0"/>
        </c:dLbls>
        <c:axId val="175885696"/>
        <c:axId val="175887872"/>
      </c:scatterChart>
      <c:scatterChart>
        <c:scatterStyle val="smooth"/>
        <c:varyColors val="0"/>
        <c:ser>
          <c:idx val="1"/>
          <c:order val="1"/>
          <c:tx>
            <c:strRef>
              <c:f>"Phase (deg)"</c:f>
              <c:strCache>
                <c:ptCount val="1"/>
                <c:pt idx="0">
                  <c:v>Phase (deg)</c:v>
                </c:pt>
              </c:strCache>
            </c:strRef>
          </c:tx>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Loop_Modeling!$BH$19:$BH$560</c:f>
              <c:numCache>
                <c:formatCode>General</c:formatCode>
                <c:ptCount val="542"/>
                <c:pt idx="0">
                  <c:v>70.529729523912</c:v>
                </c:pt>
                <c:pt idx="1">
                  <c:v>70.1229439689216</c:v>
                </c:pt>
                <c:pt idx="2">
                  <c:v>69.7096385052915</c:v>
                </c:pt>
                <c:pt idx="3">
                  <c:v>69.2898314630216</c:v>
                </c:pt>
                <c:pt idx="4">
                  <c:v>68.8635496634286</c:v>
                </c:pt>
                <c:pt idx="5">
                  <c:v>68.4308288235774</c:v>
                </c:pt>
                <c:pt idx="6">
                  <c:v>67.9917139572582</c:v>
                </c:pt>
                <c:pt idx="7">
                  <c:v>67.5462597702231</c:v>
                </c:pt>
                <c:pt idx="8">
                  <c:v>67.09453104724</c:v>
                </c:pt>
                <c:pt idx="9">
                  <c:v>66.6366030283749</c:v>
                </c:pt>
                <c:pt idx="10">
                  <c:v>66.1725617717623</c:v>
                </c:pt>
                <c:pt idx="11">
                  <c:v>65.702504500003</c:v>
                </c:pt>
                <c:pt idx="12">
                  <c:v>65.2265399272221</c:v>
                </c:pt>
                <c:pt idx="13">
                  <c:v>64.7447885637118</c:v>
                </c:pt>
                <c:pt idx="14">
                  <c:v>64.2573829950422</c:v>
                </c:pt>
                <c:pt idx="15">
                  <c:v>63.7644681324576</c:v>
                </c:pt>
                <c:pt idx="16">
                  <c:v>63.2662014313866</c:v>
                </c:pt>
                <c:pt idx="17">
                  <c:v>62.7627530748997</c:v>
                </c:pt>
                <c:pt idx="18">
                  <c:v>62.2543061190202</c:v>
                </c:pt>
                <c:pt idx="19">
                  <c:v>61.7410565968834</c:v>
                </c:pt>
                <c:pt idx="20">
                  <c:v>61.2232135788819</c:v>
                </c:pt>
                <c:pt idx="21">
                  <c:v>60.7009991861082</c:v>
                </c:pt>
                <c:pt idx="22">
                  <c:v>60.1746485546333</c:v>
                </c:pt>
                <c:pt idx="23">
                  <c:v>59.6444097484289</c:v>
                </c:pt>
                <c:pt idx="24">
                  <c:v>59.110543619042</c:v>
                </c:pt>
                <c:pt idx="25">
                  <c:v>58.5733236104864</c:v>
                </c:pt>
                <c:pt idx="26">
                  <c:v>58.0330355082046</c:v>
                </c:pt>
                <c:pt idx="27">
                  <c:v>57.4899771313815</c:v>
                </c:pt>
                <c:pt idx="28">
                  <c:v>56.9444579683423</c:v>
                </c:pt>
                <c:pt idx="29">
                  <c:v>56.3967987552652</c:v>
                </c:pt>
                <c:pt idx="30">
                  <c:v>55.8473309989336</c:v>
                </c:pt>
                <c:pt idx="31">
                  <c:v>55.2963964447836</c:v>
                </c:pt>
                <c:pt idx="32">
                  <c:v>54.7443464920319</c:v>
                </c:pt>
                <c:pt idx="33">
                  <c:v>54.1915415581922</c:v>
                </c:pt>
                <c:pt idx="34">
                  <c:v>53.6383503958238</c:v>
                </c:pt>
                <c:pt idx="35">
                  <c:v>53.0851493648472</c:v>
                </c:pt>
                <c:pt idx="36">
                  <c:v>52.5323216642562</c:v>
                </c:pt>
                <c:pt idx="37">
                  <c:v>51.9802565274956</c:v>
                </c:pt>
                <c:pt idx="38">
                  <c:v>51.4293483861791</c:v>
                </c:pt>
                <c:pt idx="39">
                  <c:v>50.8799960071918</c:v>
                </c:pt>
                <c:pt idx="40">
                  <c:v>50.3326016085137</c:v>
                </c:pt>
                <c:pt idx="41">
                  <c:v>49.7875699593454</c:v>
                </c:pt>
                <c:pt idx="42">
                  <c:v>49.245307470301</c:v>
                </c:pt>
                <c:pt idx="43">
                  <c:v>48.7062212795364</c:v>
                </c:pt>
                <c:pt idx="44">
                  <c:v>48.1707183407122</c:v>
                </c:pt>
                <c:pt idx="45">
                  <c:v>47.6392045186731</c:v>
                </c:pt>
                <c:pt idx="46">
                  <c:v>47.1120836985979</c:v>
                </c:pt>
                <c:pt idx="47">
                  <c:v>46.589756914218</c:v>
                </c:pt>
                <c:pt idx="48">
                  <c:v>46.0726215004453</c:v>
                </c:pt>
                <c:pt idx="49">
                  <c:v>45.5610702754554</c:v>
                </c:pt>
                <c:pt idx="50">
                  <c:v>45.0554907569116</c:v>
                </c:pt>
                <c:pt idx="51">
                  <c:v>44.5562644166016</c:v>
                </c:pt>
                <c:pt idx="52">
                  <c:v>44.0637659773085</c:v>
                </c:pt>
                <c:pt idx="53">
                  <c:v>43.578362755254</c:v>
                </c:pt>
                <c:pt idx="54">
                  <c:v>43.1004140509336</c:v>
                </c:pt>
                <c:pt idx="55">
                  <c:v>42.6302705906357</c:v>
                </c:pt>
                <c:pt idx="56">
                  <c:v>42.1682740203962</c:v>
                </c:pt>
                <c:pt idx="57">
                  <c:v>41.714756453594</c:v>
                </c:pt>
                <c:pt idx="58">
                  <c:v>41.2700400728636</c:v>
                </c:pt>
                <c:pt idx="59">
                  <c:v>40.8344367864713</c:v>
                </c:pt>
                <c:pt idx="60">
                  <c:v>40.408247938809</c:v>
                </c:pt>
                <c:pt idx="61">
                  <c:v>39.9917640741731</c:v>
                </c:pt>
                <c:pt idx="62">
                  <c:v>39.5852647525637</c:v>
                </c:pt>
                <c:pt idx="63">
                  <c:v>39.1890184158206</c:v>
                </c:pt>
                <c:pt idx="64">
                  <c:v>38.8032823020509</c:v>
                </c:pt>
                <c:pt idx="65">
                  <c:v>38.4283024059661</c:v>
                </c:pt>
                <c:pt idx="66">
                  <c:v>38.0643134824698</c:v>
                </c:pt>
                <c:pt idx="67">
                  <c:v>37.7115390905851</c:v>
                </c:pt>
                <c:pt idx="68">
                  <c:v>37.3701916746194</c:v>
                </c:pt>
                <c:pt idx="69">
                  <c:v>37.0404726792994</c:v>
                </c:pt>
                <c:pt idx="70">
                  <c:v>36.7225726955005</c:v>
                </c:pt>
                <c:pt idx="71">
                  <c:v>36.4166716331129</c:v>
                </c:pt>
                <c:pt idx="72">
                  <c:v>36.1229389175477</c:v>
                </c:pt>
                <c:pt idx="73">
                  <c:v>35.8415337063797</c:v>
                </c:pt>
                <c:pt idx="74">
                  <c:v>35.5726051226529</c:v>
                </c:pt>
                <c:pt idx="75">
                  <c:v>35.3162925014202</c:v>
                </c:pt>
                <c:pt idx="76">
                  <c:v>35.072725646177</c:v>
                </c:pt>
                <c:pt idx="77">
                  <c:v>34.8420250919362</c:v>
                </c:pt>
                <c:pt idx="78">
                  <c:v>34.6243023718267</c:v>
                </c:pt>
                <c:pt idx="79">
                  <c:v>34.4196602842166</c:v>
                </c:pt>
                <c:pt idx="80">
                  <c:v>34.2281931575222</c:v>
                </c:pt>
                <c:pt idx="81">
                  <c:v>34.0499871100166</c:v>
                </c:pt>
                <c:pt idx="82">
                  <c:v>33.8851203021187</c:v>
                </c:pt>
                <c:pt idx="83">
                  <c:v>33.7336631788178</c:v>
                </c:pt>
                <c:pt idx="84">
                  <c:v>33.5956787000627</c:v>
                </c:pt>
                <c:pt idx="85">
                  <c:v>33.4712225571305</c:v>
                </c:pt>
                <c:pt idx="86">
                  <c:v>33.3603433731567</c:v>
                </c:pt>
                <c:pt idx="87">
                  <c:v>33.2630828862085</c:v>
                </c:pt>
                <c:pt idx="88">
                  <c:v>33.1794761134428</c:v>
                </c:pt>
                <c:pt idx="89">
                  <c:v>33.1095514950869</c:v>
                </c:pt>
                <c:pt idx="90">
                  <c:v>33.0533310171424</c:v>
                </c:pt>
                <c:pt idx="91">
                  <c:v>33.0108303119008</c:v>
                </c:pt>
                <c:pt idx="92">
                  <c:v>32.9820587355204</c:v>
                </c:pt>
                <c:pt idx="93">
                  <c:v>32.9670194221008</c:v>
                </c:pt>
                <c:pt idx="94">
                  <c:v>32.9657093138451</c:v>
                </c:pt>
                <c:pt idx="95">
                  <c:v>32.9781191670832</c:v>
                </c:pt>
                <c:pt idx="96">
                  <c:v>33.0042335340925</c:v>
                </c:pt>
                <c:pt idx="97">
                  <c:v>33.04403072082</c:v>
                </c:pt>
                <c:pt idx="98">
                  <c:v>33.0974827207815</c:v>
                </c:pt>
                <c:pt idx="99">
                  <c:v>33.1645551255823</c:v>
                </c:pt>
                <c:pt idx="100">
                  <c:v>33.2452070126734</c:v>
                </c:pt>
                <c:pt idx="101">
                  <c:v>33.3393908111344</c:v>
                </c:pt>
                <c:pt idx="102">
                  <c:v>33.4470521464394</c:v>
                </c:pt>
                <c:pt idx="103">
                  <c:v>33.5681296653466</c:v>
                </c:pt>
                <c:pt idx="104">
                  <c:v>33.7025548422291</c:v>
                </c:pt>
                <c:pt idx="105">
                  <c:v>33.8502517683349</c:v>
                </c:pt>
                <c:pt idx="106">
                  <c:v>34.0111369256548</c:v>
                </c:pt>
                <c:pt idx="107">
                  <c:v>34.1851189472546</c:v>
                </c:pt>
                <c:pt idx="108">
                  <c:v>34.3720983661038</c:v>
                </c:pt>
                <c:pt idx="109">
                  <c:v>34.5719673546147</c:v>
                </c:pt>
                <c:pt idx="110">
                  <c:v>34.7846094572865</c:v>
                </c:pt>
                <c:pt idx="111">
                  <c:v>35.0098993190087</c:v>
                </c:pt>
                <c:pt idx="112">
                  <c:v>35.2477024117557</c:v>
                </c:pt>
                <c:pt idx="113">
                  <c:v>35.4978747625493</c:v>
                </c:pt>
                <c:pt idx="114">
                  <c:v>35.7602626857174</c:v>
                </c:pt>
                <c:pt idx="115">
                  <c:v>36.0347025226052</c:v>
                </c:pt>
                <c:pt idx="116">
                  <c:v>36.3210203920102</c:v>
                </c:pt>
                <c:pt idx="117">
                  <c:v>36.6190319547085</c:v>
                </c:pt>
                <c:pt idx="118">
                  <c:v>36.928542195505</c:v>
                </c:pt>
                <c:pt idx="119">
                  <c:v>37.249345226299</c:v>
                </c:pt>
                <c:pt idx="120">
                  <c:v>37.5812241136575</c:v>
                </c:pt>
                <c:pt idx="121">
                  <c:v>37.9239507343906</c:v>
                </c:pt>
                <c:pt idx="122">
                  <c:v>38.2772856625548</c:v>
                </c:pt>
                <c:pt idx="123">
                  <c:v>38.6409780912441</c:v>
                </c:pt>
                <c:pt idx="124">
                  <c:v>39.0147657923801</c:v>
                </c:pt>
                <c:pt idx="125">
                  <c:v>39.3983751175615</c:v>
                </c:pt>
                <c:pt idx="126">
                  <c:v>39.79152104281</c:v>
                </c:pt>
                <c:pt idx="127">
                  <c:v>40.193907259801</c:v>
                </c:pt>
                <c:pt idx="128">
                  <c:v>40.6052263158734</c:v>
                </c:pt>
                <c:pt idx="129">
                  <c:v>41.0251598047589</c:v>
                </c:pt>
                <c:pt idx="130">
                  <c:v>41.4533786096082</c:v>
                </c:pt>
                <c:pt idx="131">
                  <c:v>41.8895431994584</c:v>
                </c:pt>
                <c:pt idx="132">
                  <c:v>42.3333039798438</c:v>
                </c:pt>
                <c:pt idx="133">
                  <c:v>42.7843016977602</c:v>
                </c:pt>
                <c:pt idx="134">
                  <c:v>43.2421679006908</c:v>
                </c:pt>
                <c:pt idx="135">
                  <c:v>43.7065254488749</c:v>
                </c:pt>
                <c:pt idx="136">
                  <c:v>44.1769890794584</c:v>
                </c:pt>
                <c:pt idx="137">
                  <c:v>44.6531660206287</c:v>
                </c:pt>
                <c:pt idx="138">
                  <c:v>45.1346566532907</c:v>
                </c:pt>
                <c:pt idx="139">
                  <c:v>45.6210552173198</c:v>
                </c:pt>
                <c:pt idx="140">
                  <c:v>46.1119505589178</c:v>
                </c:pt>
                <c:pt idx="141">
                  <c:v>46.6069269151172</c:v>
                </c:pt>
                <c:pt idx="142">
                  <c:v>47.1055647310434</c:v>
                </c:pt>
                <c:pt idx="143">
                  <c:v>47.6074415051426</c:v>
                </c:pt>
                <c:pt idx="144">
                  <c:v>48.1121326572438</c:v>
                </c:pt>
                <c:pt idx="145">
                  <c:v>48.6192124140228</c:v>
                </c:pt>
                <c:pt idx="146">
                  <c:v>49.1282547062307</c:v>
                </c:pt>
                <c:pt idx="147">
                  <c:v>49.6388340718772</c:v>
                </c:pt>
                <c:pt idx="148">
                  <c:v>50.1505265594739</c:v>
                </c:pt>
                <c:pt idx="149">
                  <c:v>50.6629106254385</c:v>
                </c:pt>
                <c:pt idx="150">
                  <c:v>51.1755680197985</c:v>
                </c:pt>
                <c:pt idx="151">
                  <c:v>51.688084654481</c:v>
                </c:pt>
                <c:pt idx="152">
                  <c:v>52.2000514486506</c:v>
                </c:pt>
                <c:pt idx="153">
                  <c:v>52.7110651458331</c:v>
                </c:pt>
                <c:pt idx="154">
                  <c:v>53.2207290978719</c:v>
                </c:pt>
                <c:pt idx="155">
                  <c:v>53.7286540111385</c:v>
                </c:pt>
                <c:pt idx="156">
                  <c:v>54.2344586508397</c:v>
                </c:pt>
                <c:pt idx="157">
                  <c:v>54.7377704997226</c:v>
                </c:pt>
                <c:pt idx="158">
                  <c:v>55.2382263679572</c:v>
                </c:pt>
                <c:pt idx="159">
                  <c:v>55.7354729515049</c:v>
                </c:pt>
                <c:pt idx="160">
                  <c:v>56.22916733679</c:v>
                </c:pt>
                <c:pt idx="161">
                  <c:v>56.7189774500329</c:v>
                </c:pt>
                <c:pt idx="162">
                  <c:v>57.2045824501282</c:v>
                </c:pt>
                <c:pt idx="163">
                  <c:v>57.6856730644711</c:v>
                </c:pt>
                <c:pt idx="164">
                  <c:v>58.1619518676376</c:v>
                </c:pt>
                <c:pt idx="165">
                  <c:v>58.6331335033</c:v>
                </c:pt>
                <c:pt idx="166">
                  <c:v>59.0989448502179</c:v>
                </c:pt>
                <c:pt idx="167">
                  <c:v>59.5591251335491</c:v>
                </c:pt>
                <c:pt idx="168">
                  <c:v>60.0134259831165</c:v>
                </c:pt>
                <c:pt idx="169">
                  <c:v>60.4616114405947</c:v>
                </c:pt>
                <c:pt idx="170">
                  <c:v>60.9034579178938</c:v>
                </c:pt>
                <c:pt idx="171">
                  <c:v>61.3387541092516</c:v>
                </c:pt>
                <c:pt idx="172">
                  <c:v>61.7673008597757</c:v>
                </c:pt>
                <c:pt idx="173">
                  <c:v>62.1889109933359</c:v>
                </c:pt>
                <c:pt idx="174">
                  <c:v>62.6034091028316</c:v>
                </c:pt>
                <c:pt idx="175">
                  <c:v>63.0106313059578</c:v>
                </c:pt>
                <c:pt idx="176">
                  <c:v>63.4104249696228</c:v>
                </c:pt>
                <c:pt idx="177">
                  <c:v>63.8026484062078</c:v>
                </c:pt>
                <c:pt idx="178">
                  <c:v>64.1871705448197</c:v>
                </c:pt>
                <c:pt idx="179">
                  <c:v>64.5638705806524</c:v>
                </c:pt>
                <c:pt idx="180">
                  <c:v>64.9326376054933</c:v>
                </c:pt>
                <c:pt idx="181">
                  <c:v>65.2933702223237</c:v>
                </c:pt>
                <c:pt idx="182">
                  <c:v>65.6459761468319</c:v>
                </c:pt>
                <c:pt idx="183">
                  <c:v>65.9903717985416</c:v>
                </c:pt>
                <c:pt idx="184">
                  <c:v>66.3264818841086</c:v>
                </c:pt>
                <c:pt idx="185">
                  <c:v>66.6542389751787</c:v>
                </c:pt>
                <c:pt idx="186">
                  <c:v>66.9735830830537</c:v>
                </c:pt>
                <c:pt idx="187">
                  <c:v>67.2844612322289</c:v>
                </c:pt>
                <c:pt idx="188">
                  <c:v>67.586827034716</c:v>
                </c:pt>
                <c:pt idx="189">
                  <c:v>67.8806402668834</c:v>
                </c:pt>
                <c:pt idx="190">
                  <c:v>68.1658664503873</c:v>
                </c:pt>
                <c:pt idx="191">
                  <c:v>68.4424764386051</c:v>
                </c:pt>
                <c:pt idx="192">
                  <c:v>68.7104460098219</c:v>
                </c:pt>
                <c:pt idx="193">
                  <c:v>68.9697554682691</c:v>
                </c:pt>
                <c:pt idx="194">
                  <c:v>69.2203892539735</c:v>
                </c:pt>
                <c:pt idx="195">
                  <c:v>69.4623355622312</c:v>
                </c:pt>
                <c:pt idx="196">
                  <c:v>69.6955859733982</c:v>
                </c:pt>
                <c:pt idx="197">
                  <c:v>69.9201350935634</c:v>
                </c:pt>
                <c:pt idx="198">
                  <c:v>70.1359802065571</c:v>
                </c:pt>
                <c:pt idx="199">
                  <c:v>70.343120937655</c:v>
                </c:pt>
                <c:pt idx="200">
                  <c:v>70.5415589292229</c:v>
                </c:pt>
                <c:pt idx="201">
                  <c:v>70.7312975284818</c:v>
                </c:pt>
                <c:pt idx="202">
                  <c:v>70.9123414874854</c:v>
                </c:pt>
                <c:pt idx="203">
                  <c:v>71.0846966753286</c:v>
                </c:pt>
                <c:pt idx="204">
                  <c:v>71.2483698025547</c:v>
                </c:pt>
                <c:pt idx="205">
                  <c:v>71.4033681576659</c:v>
                </c:pt>
                <c:pt idx="206">
                  <c:v>71.5496993555989</c:v>
                </c:pt>
                <c:pt idx="207">
                  <c:v>71.6873710979848</c:v>
                </c:pt>
                <c:pt idx="208">
                  <c:v>71.8163909449817</c:v>
                </c:pt>
                <c:pt idx="209">
                  <c:v>71.9367660984357</c:v>
                </c:pt>
                <c:pt idx="210">
                  <c:v>72.0485031961072</c:v>
                </c:pt>
                <c:pt idx="211">
                  <c:v>72.1516081166814</c:v>
                </c:pt>
                <c:pt idx="212">
                  <c:v>72.2460857952636</c:v>
                </c:pt>
                <c:pt idx="213">
                  <c:v>72.331940049061</c:v>
                </c:pt>
                <c:pt idx="214">
                  <c:v>72.4091734129375</c:v>
                </c:pt>
                <c:pt idx="215">
                  <c:v>72.4777869845333</c:v>
                </c:pt>
                <c:pt idx="216">
                  <c:v>72.5377802786423</c:v>
                </c:pt>
                <c:pt idx="217">
                  <c:v>72.5891510905398</c:v>
                </c:pt>
                <c:pt idx="218">
                  <c:v>72.6318953679686</c:v>
                </c:pt>
                <c:pt idx="219">
                  <c:v>72.666007091496</c:v>
                </c:pt>
                <c:pt idx="220">
                  <c:v>72.691478162964</c:v>
                </c:pt>
                <c:pt idx="221">
                  <c:v>72.708298301778</c:v>
                </c:pt>
                <c:pt idx="222">
                  <c:v>72.7164549487818</c:v>
                </c:pt>
                <c:pt idx="223">
                  <c:v>72.7159331774977</c:v>
                </c:pt>
                <c:pt idx="224">
                  <c:v>72.706715612514</c:v>
                </c:pt>
                <c:pt idx="225">
                  <c:v>72.6887823548367</c:v>
                </c:pt>
                <c:pt idx="226">
                  <c:v>72.662110914031</c:v>
                </c:pt>
                <c:pt idx="227">
                  <c:v>72.6266761470043</c:v>
                </c:pt>
                <c:pt idx="228">
                  <c:v>72.5824502033076</c:v>
                </c:pt>
                <c:pt idx="229">
                  <c:v>72.5294024768495</c:v>
                </c:pt>
                <c:pt idx="230">
                  <c:v>72.4674995639467</c:v>
                </c:pt>
                <c:pt idx="231">
                  <c:v>72.3967052276543</c:v>
                </c:pt>
                <c:pt idx="232">
                  <c:v>72.3169803683475</c:v>
                </c:pt>
                <c:pt idx="233">
                  <c:v>72.2282830005531</c:v>
                </c:pt>
                <c:pt idx="234">
                  <c:v>72.1305682360497</c:v>
                </c:pt>
                <c:pt idx="235">
                  <c:v>72.0237882732893</c:v>
                </c:pt>
                <c:pt idx="236">
                  <c:v>71.9078923932134</c:v>
                </c:pt>
                <c:pt idx="237">
                  <c:v>71.7828269615676</c:v>
                </c:pt>
                <c:pt idx="238">
                  <c:v>71.6485354378432</c:v>
                </c:pt>
                <c:pt idx="239">
                  <c:v>71.504958391008</c:v>
                </c:pt>
                <c:pt idx="240">
                  <c:v>71.3520335222033</c:v>
                </c:pt>
                <c:pt idx="241">
                  <c:v>71.1896956946285</c:v>
                </c:pt>
                <c:pt idx="242">
                  <c:v>71.0178769708447</c:v>
                </c:pt>
                <c:pt idx="243">
                  <c:v>70.8365066577707</c:v>
                </c:pt>
                <c:pt idx="244">
                  <c:v>70.645511359659</c:v>
                </c:pt>
                <c:pt idx="245">
                  <c:v>70.4448150393751</c:v>
                </c:pt>
                <c:pt idx="246">
                  <c:v>70.2343390883211</c:v>
                </c:pt>
                <c:pt idx="247">
                  <c:v>70.0140024053726</c:v>
                </c:pt>
                <c:pt idx="248">
                  <c:v>69.7837214852219</c:v>
                </c:pt>
                <c:pt idx="249">
                  <c:v>69.5434105165344</c:v>
                </c:pt>
                <c:pt idx="250">
                  <c:v>69.2929814903545</c:v>
                </c:pt>
                <c:pt idx="251">
                  <c:v>69.0323443192039</c:v>
                </c:pt>
                <c:pt idx="252">
                  <c:v>68.7614069673391</c:v>
                </c:pt>
                <c:pt idx="253">
                  <c:v>68.4800755926351</c:v>
                </c:pt>
                <c:pt idx="254">
                  <c:v>68.1882547005773</c:v>
                </c:pt>
                <c:pt idx="255">
                  <c:v>67.8858473108457</c:v>
                </c:pt>
                <c:pt idx="256">
                  <c:v>67.5727551369658</c:v>
                </c:pt>
                <c:pt idx="257">
                  <c:v>67.2488787795048</c:v>
                </c:pt>
                <c:pt idx="258">
                  <c:v>66.914117933264</c:v>
                </c:pt>
                <c:pt idx="259">
                  <c:v>66.5683716089101</c:v>
                </c:pt>
                <c:pt idx="260">
                  <c:v>66.21153836945</c:v>
                </c:pt>
                <c:pt idx="261">
                  <c:v>65.8435165819203</c:v>
                </c:pt>
                <c:pt idx="262">
                  <c:v>65.4642046846155</c:v>
                </c:pt>
                <c:pt idx="263">
                  <c:v>65.0735014701238</c:v>
                </c:pt>
                <c:pt idx="264">
                  <c:v>64.6713063843662</c:v>
                </c:pt>
                <c:pt idx="265">
                  <c:v>64.2575198417619</c:v>
                </c:pt>
                <c:pt idx="266">
                  <c:v>63.8320435565499</c:v>
                </c:pt>
                <c:pt idx="267">
                  <c:v>63.3947808901872</c:v>
                </c:pt>
                <c:pt idx="268">
                  <c:v>62.9456372146335</c:v>
                </c:pt>
                <c:pt idx="269">
                  <c:v>62.4845202911966</c:v>
                </c:pt>
                <c:pt idx="270">
                  <c:v>62.0113406644686</c:v>
                </c:pt>
                <c:pt idx="271">
                  <c:v>61.5260120707236</c:v>
                </c:pt>
                <c:pt idx="272">
                  <c:v>61.0284518599738</c:v>
                </c:pt>
                <c:pt idx="273">
                  <c:v>60.5185814306995</c:v>
                </c:pt>
                <c:pt idx="274">
                  <c:v>59.9963266760642</c:v>
                </c:pt>
                <c:pt idx="275">
                  <c:v>59.4616184402194</c:v>
                </c:pt>
                <c:pt idx="276">
                  <c:v>58.9143929830919</c:v>
                </c:pt>
                <c:pt idx="277">
                  <c:v>58.3545924518064</c:v>
                </c:pt>
                <c:pt idx="278">
                  <c:v>57.7821653566769</c:v>
                </c:pt>
                <c:pt idx="279">
                  <c:v>57.1970670494656</c:v>
                </c:pt>
                <c:pt idx="280">
                  <c:v>56.5992602013626</c:v>
                </c:pt>
                <c:pt idx="281">
                  <c:v>55.9887152779313</c:v>
                </c:pt>
                <c:pt idx="282">
                  <c:v>55.3654110080247</c:v>
                </c:pt>
                <c:pt idx="283">
                  <c:v>54.729334843482</c:v>
                </c:pt>
                <c:pt idx="284">
                  <c:v>54.0804834062185</c:v>
                </c:pt>
                <c:pt idx="285">
                  <c:v>53.4188629191565</c:v>
                </c:pt>
                <c:pt idx="286">
                  <c:v>52.7444896173009</c:v>
                </c:pt>
                <c:pt idx="287">
                  <c:v>52.0573901351562</c:v>
                </c:pt>
                <c:pt idx="288">
                  <c:v>51.3576018666075</c:v>
                </c:pt>
                <c:pt idx="289">
                  <c:v>50.6451732933573</c:v>
                </c:pt>
                <c:pt idx="290">
                  <c:v>49.9201642780329</c:v>
                </c:pt>
                <c:pt idx="291">
                  <c:v>49.1826463181337</c:v>
                </c:pt>
                <c:pt idx="292">
                  <c:v>48.4327027571225</c:v>
                </c:pt>
                <c:pt idx="293">
                  <c:v>47.6704289491329</c:v>
                </c:pt>
                <c:pt idx="294">
                  <c:v>46.8959323740044</c:v>
                </c:pt>
                <c:pt idx="295">
                  <c:v>46.1093326996534</c:v>
                </c:pt>
                <c:pt idx="296">
                  <c:v>45.3107617891418</c:v>
                </c:pt>
                <c:pt idx="297">
                  <c:v>44.5003636502189</c:v>
                </c:pt>
                <c:pt idx="298">
                  <c:v>43.6782943255773</c:v>
                </c:pt>
                <c:pt idx="299">
                  <c:v>42.8447217225875</c:v>
                </c:pt>
                <c:pt idx="300">
                  <c:v>41.9998253818322</c:v>
                </c:pt>
                <c:pt idx="301">
                  <c:v>41.1437961843737</c:v>
                </c:pt>
                <c:pt idx="302">
                  <c:v>40.2768359983216</c:v>
                </c:pt>
                <c:pt idx="303">
                  <c:v>39.3991572659154</c:v>
                </c:pt>
                <c:pt idx="304">
                  <c:v>38.5109825330258</c:v>
                </c:pt>
                <c:pt idx="305">
                  <c:v>37.6125439236411</c:v>
                </c:pt>
                <c:pt idx="306">
                  <c:v>36.7040825625746</c:v>
                </c:pt>
                <c:pt idx="307">
                  <c:v>35.785847950276</c:v>
                </c:pt>
                <c:pt idx="308">
                  <c:v>34.8580972942491</c:v>
                </c:pt>
                <c:pt idx="309">
                  <c:v>33.9210948021532</c:v>
                </c:pt>
                <c:pt idx="310">
                  <c:v>32.9751109421855</c:v>
                </c:pt>
                <c:pt idx="311">
                  <c:v>32.0204216768212</c:v>
                </c:pt>
                <c:pt idx="312">
                  <c:v>31.0573076763497</c:v>
                </c:pt>
                <c:pt idx="313">
                  <c:v>30.0860535190051</c:v>
                </c:pt>
                <c:pt idx="314">
                  <c:v>29.1069468846732</c:v>
                </c:pt>
                <c:pt idx="315">
                  <c:v>28.1202777493434</c:v>
                </c:pt>
                <c:pt idx="316">
                  <c:v>27.1263375874921</c:v>
                </c:pt>
                <c:pt idx="317">
                  <c:v>26.1254185895636</c:v>
                </c:pt>
                <c:pt idx="318">
                  <c:v>25.1178129015776</c:v>
                </c:pt>
                <c:pt idx="319">
                  <c:v>24.1038118936588</c:v>
                </c:pt>
                <c:pt idx="320">
                  <c:v>23.0837054639783</c:v>
                </c:pt>
                <c:pt idx="321">
                  <c:v>22.0577813842119</c:v>
                </c:pt>
                <c:pt idx="322">
                  <c:v>21.0263246921349</c:v>
                </c:pt>
                <c:pt idx="323">
                  <c:v>19.9896171364422</c:v>
                </c:pt>
                <c:pt idx="324">
                  <c:v>18.9479366782928</c:v>
                </c:pt>
                <c:pt idx="325">
                  <c:v>17.901557053415</c:v>
                </c:pt>
                <c:pt idx="326">
                  <c:v>16.8507473979361</c:v>
                </c:pt>
                <c:pt idx="327">
                  <c:v>15.7957719403612</c:v>
                </c:pt>
                <c:pt idx="328">
                  <c:v>14.7368897614027</c:v>
                </c:pt>
                <c:pt idx="329">
                  <c:v>13.6743546225998</c:v>
                </c:pt>
                <c:pt idx="330">
                  <c:v>12.6084148639197</c:v>
                </c:pt>
                <c:pt idx="331">
                  <c:v>11.539313369776</c:v>
                </c:pt>
                <c:pt idx="332">
                  <c:v>10.4672876021914</c:v>
                </c:pt>
                <c:pt idx="333">
                  <c:v>9.39256969910059</c:v>
                </c:pt>
                <c:pt idx="334">
                  <c:v>8.31538663514786</c:v>
                </c:pt>
                <c:pt idx="335">
                  <c:v>7.23596044166647</c:v>
                </c:pt>
                <c:pt idx="336">
                  <c:v>6.15450848197145</c:v>
                </c:pt>
                <c:pt idx="337">
                  <c:v>5.07124377751886</c:v>
                </c:pt>
                <c:pt idx="338">
                  <c:v>3.98637538003176</c:v>
                </c:pt>
                <c:pt idx="339">
                  <c:v>2.90010878423484</c:v>
                </c:pt>
                <c:pt idx="340">
                  <c:v>1.81264637547759</c:v>
                </c:pt>
                <c:pt idx="341">
                  <c:v>0.724187906208616</c:v>
                </c:pt>
                <c:pt idx="342">
                  <c:v>-0.365069004979696</c:v>
                </c:pt>
                <c:pt idx="343">
                  <c:v>-1.45492835821309</c:v>
                </c:pt>
                <c:pt idx="344">
                  <c:v>-2.54519524769502</c:v>
                </c:pt>
                <c:pt idx="345">
                  <c:v>-3.63567533422125</c:v>
                </c:pt>
                <c:pt idx="346">
                  <c:v>-4.72617432148816</c:v>
                </c:pt>
                <c:pt idx="347">
                  <c:v>-5.81649744277947</c:v>
                </c:pt>
                <c:pt idx="348">
                  <c:v>-6.90644896446889</c:v>
                </c:pt>
                <c:pt idx="349">
                  <c:v>-7.99583171259152</c:v>
                </c:pt>
                <c:pt idx="350">
                  <c:v>-9.08444662847176</c:v>
                </c:pt>
                <c:pt idx="351">
                  <c:v>-10.172092359093</c:v>
                </c:pt>
                <c:pt idx="352">
                  <c:v>-11.2585648875127</c:v>
                </c:pt>
                <c:pt idx="353">
                  <c:v>-12.3436572082093</c:v>
                </c:pt>
                <c:pt idx="354">
                  <c:v>-13.4271590517745</c:v>
                </c:pt>
                <c:pt idx="355">
                  <c:v>-14.5088566628321</c:v>
                </c:pt>
                <c:pt idx="356">
                  <c:v>-15.5885326345215</c:v>
                </c:pt>
                <c:pt idx="357">
                  <c:v>-16.6659658022598</c:v>
                </c:pt>
                <c:pt idx="358">
                  <c:v>-17.7409311988894</c:v>
                </c:pt>
                <c:pt idx="359">
                  <c:v>-18.8132000726388</c:v>
                </c:pt>
                <c:pt idx="360">
                  <c:v>-19.8825399686669</c:v>
                </c:pt>
                <c:pt idx="361">
                  <c:v>-20.9487148742617</c:v>
                </c:pt>
                <c:pt idx="362">
                  <c:v>-22.011485427092</c:v>
                </c:pt>
                <c:pt idx="363">
                  <c:v>-23.0706091852031</c:v>
                </c:pt>
                <c:pt idx="364">
                  <c:v>-24.1258409568071</c:v>
                </c:pt>
                <c:pt idx="365">
                  <c:v>-25.1769331872459</c:v>
                </c:pt>
                <c:pt idx="366">
                  <c:v>-26.2236363999059</c:v>
                </c:pt>
                <c:pt idx="367">
                  <c:v>-27.2656996872859</c:v>
                </c:pt>
                <c:pt idx="368">
                  <c:v>-28.3028712478796</c:v>
                </c:pt>
                <c:pt idx="369">
                  <c:v>-29.3348989640805</c:v>
                </c:pt>
                <c:pt idx="370">
                  <c:v>-30.3615310158857</c:v>
                </c:pt>
                <c:pt idx="371">
                  <c:v>-31.3825165248532</c:v>
                </c:pt>
                <c:pt idx="372">
                  <c:v>-32.3976062224744</c:v>
                </c:pt>
                <c:pt idx="373">
                  <c:v>-33.4065531369401</c:v>
                </c:pt>
                <c:pt idx="374">
                  <c:v>-34.4091132921656</c:v>
                </c:pt>
                <c:pt idx="375">
                  <c:v>-35.4050464128809</c:v>
                </c:pt>
                <c:pt idx="376">
                  <c:v>-36.3941166296526</c:v>
                </c:pt>
                <c:pt idx="377">
                  <c:v>-37.3760931778065</c:v>
                </c:pt>
                <c:pt idx="378">
                  <c:v>-38.3507510844069</c:v>
                </c:pt>
                <c:pt idx="379">
                  <c:v>-39.3178718377115</c:v>
                </c:pt>
                <c:pt idx="380">
                  <c:v>-40.2772440338269</c:v>
                </c:pt>
                <c:pt idx="381">
                  <c:v>-41.2286639956757</c:v>
                </c:pt>
                <c:pt idx="382">
                  <c:v>-42.171936359801</c:v>
                </c:pt>
                <c:pt idx="383">
                  <c:v>-43.1068746269915</c:v>
                </c:pt>
                <c:pt idx="384">
                  <c:v>-44.0333016732223</c:v>
                </c:pt>
                <c:pt idx="385">
                  <c:v>-44.9510502178987</c:v>
                </c:pt>
                <c:pt idx="386">
                  <c:v>-45.8599632469403</c:v>
                </c:pt>
                <c:pt idx="387">
                  <c:v>-46.7598943887772</c:v>
                </c:pt>
                <c:pt idx="388">
                  <c:v>-47.6507082418528</c:v>
                </c:pt>
                <c:pt idx="389">
                  <c:v>-48.5322806527672</c:v>
                </c:pt>
                <c:pt idx="390">
                  <c:v>-49.40449894469</c:v>
                </c:pt>
                <c:pt idx="391">
                  <c:v>-50.2672620961648</c:v>
                </c:pt>
                <c:pt idx="392">
                  <c:v>-51.1204808708706</c:v>
                </c:pt>
                <c:pt idx="393">
                  <c:v>-51.9640778993348</c:v>
                </c:pt>
                <c:pt idx="394">
                  <c:v>-52.7979877139721</c:v>
                </c:pt>
                <c:pt idx="395">
                  <c:v>-53.6221567391607</c:v>
                </c:pt>
                <c:pt idx="396">
                  <c:v>-54.4365432383802</c:v>
                </c:pt>
                <c:pt idx="397">
                  <c:v>-55.2411172206749</c:v>
                </c:pt>
                <c:pt idx="398">
                  <c:v>-56.0358603089382</c:v>
                </c:pt>
                <c:pt idx="399">
                  <c:v>-56.820765572672</c:v>
                </c:pt>
                <c:pt idx="400">
                  <c:v>-57.5958373280091</c:v>
                </c:pt>
                <c:pt idx="401">
                  <c:v>-58.3610909078788</c:v>
                </c:pt>
                <c:pt idx="402">
                  <c:v>-59.1165524052397</c:v>
                </c:pt>
                <c:pt idx="403">
                  <c:v>-59.8622583923336</c:v>
                </c:pt>
                <c:pt idx="404">
                  <c:v>-60.5982556188896</c:v>
                </c:pt>
                <c:pt idx="405">
                  <c:v>-61.3246006921662</c:v>
                </c:pt>
                <c:pt idx="406">
                  <c:v>-62.0413597416556</c:v>
                </c:pt>
                <c:pt idx="407">
                  <c:v>-62.7486080711744</c:v>
                </c:pt>
                <c:pt idx="408">
                  <c:v>-63.4464298009665</c:v>
                </c:pt>
                <c:pt idx="409">
                  <c:v>-64.1349175023063</c:v>
                </c:pt>
                <c:pt idx="410">
                  <c:v>-64.8141718269617</c:v>
                </c:pt>
                <c:pt idx="411">
                  <c:v>-65.4843011337215</c:v>
                </c:pt>
                <c:pt idx="412">
                  <c:v>-66.1454211140424</c:v>
                </c:pt>
                <c:pt idx="413">
                  <c:v>-66.7976544187083</c:v>
                </c:pt>
                <c:pt idx="414">
                  <c:v>-67.441130287232</c:v>
                </c:pt>
                <c:pt idx="415">
                  <c:v>-68.0759841815737</c:v>
                </c:pt>
                <c:pt idx="416">
                  <c:v>-68.7023574255821</c:v>
                </c:pt>
                <c:pt idx="417">
                  <c:v>-69.3203968514147</c:v>
                </c:pt>
                <c:pt idx="418">
                  <c:v>-69.930254454037</c:v>
                </c:pt>
                <c:pt idx="419">
                  <c:v>-70.5320870547546</c:v>
                </c:pt>
                <c:pt idx="420">
                  <c:v>-71.1260559745938</c:v>
                </c:pt>
                <c:pt idx="421">
                  <c:v>-71.7123267182111</c:v>
                </c:pt>
                <c:pt idx="422">
                  <c:v>-72.2910686688841</c:v>
                </c:pt>
                <c:pt idx="423">
                  <c:v>-72.8624547950251</c:v>
                </c:pt>
                <c:pt idx="424">
                  <c:v>-73.4266613685458</c:v>
                </c:pt>
                <c:pt idx="425">
                  <c:v>-73.9838676952936</c:v>
                </c:pt>
                <c:pt idx="426">
                  <c:v>-74.5342558577026</c:v>
                </c:pt>
                <c:pt idx="427">
                  <c:v>-75.0780104696995</c:v>
                </c:pt>
                <c:pt idx="428">
                  <c:v>-75.6153184438416</c:v>
                </c:pt>
                <c:pt idx="429">
                  <c:v>-76.1463687705852</c:v>
                </c:pt>
                <c:pt idx="430">
                  <c:v>-76.6713523095236</c:v>
                </c:pt>
                <c:pt idx="431">
                  <c:v>-77.1904615923804</c:v>
                </c:pt>
                <c:pt idx="432">
                  <c:v>-77.703890637488</c:v>
                </c:pt>
                <c:pt idx="433">
                  <c:v>-78.2118347754456</c:v>
                </c:pt>
                <c:pt idx="434">
                  <c:v>-78.7144904856059</c:v>
                </c:pt>
                <c:pt idx="435">
                  <c:v>-79.2120552430134</c:v>
                </c:pt>
                <c:pt idx="436">
                  <c:v>-79.7047273753832</c:v>
                </c:pt>
                <c:pt idx="437">
                  <c:v>-80.1927059296907</c:v>
                </c:pt>
                <c:pt idx="438">
                  <c:v>-80.6761905479197</c:v>
                </c:pt>
                <c:pt idx="439">
                  <c:v>-81.1553813514999</c:v>
                </c:pt>
                <c:pt idx="440">
                  <c:v>-81.6304788339515</c:v>
                </c:pt>
                <c:pt idx="441">
                  <c:v>-82.1016837612473</c:v>
                </c:pt>
                <c:pt idx="442">
                  <c:v>-82.5691970793867</c:v>
                </c:pt>
                <c:pt idx="443">
                  <c:v>-83.0332198286796</c:v>
                </c:pt>
                <c:pt idx="444">
                  <c:v>-83.493953064221</c:v>
                </c:pt>
                <c:pt idx="445">
                  <c:v>-83.9515977820497</c:v>
                </c:pt>
                <c:pt idx="446">
                  <c:v>-84.4063548504654</c:v>
                </c:pt>
                <c:pt idx="447">
                  <c:v>-84.8584249459918</c:v>
                </c:pt>
                <c:pt idx="448">
                  <c:v>-85.3080084934624</c:v>
                </c:pt>
                <c:pt idx="449">
                  <c:v>-85.7553056097138</c:v>
                </c:pt>
                <c:pt idx="450">
                  <c:v>-86.2005160503662</c:v>
                </c:pt>
                <c:pt idx="451">
                  <c:v>-86.6438391591747</c:v>
                </c:pt>
                <c:pt idx="452">
                  <c:v>-87.0854738194351</c:v>
                </c:pt>
                <c:pt idx="453">
                  <c:v>-87.5256184069286</c:v>
                </c:pt>
                <c:pt idx="454">
                  <c:v>-87.9644707438926</c:v>
                </c:pt>
                <c:pt idx="455">
                  <c:v>-88.4022280535012</c:v>
                </c:pt>
                <c:pt idx="456">
                  <c:v>-88.8390869143464</c:v>
                </c:pt>
                <c:pt idx="457">
                  <c:v>-89.2752432144051</c:v>
                </c:pt>
                <c:pt idx="458">
                  <c:v>-89.7108921039805</c:v>
                </c:pt>
                <c:pt idx="459">
                  <c:v>-90.1462279471072</c:v>
                </c:pt>
                <c:pt idx="460">
                  <c:v>-90.5814442709073</c:v>
                </c:pt>
                <c:pt idx="461">
                  <c:v>-91.0167337123859</c:v>
                </c:pt>
                <c:pt idx="462">
                  <c:v>-91.4522879621535</c:v>
                </c:pt>
                <c:pt idx="463">
                  <c:v>-91.8882977045656</c:v>
                </c:pt>
                <c:pt idx="464">
                  <c:v>-92.3249525537639</c:v>
                </c:pt>
                <c:pt idx="465">
                  <c:v>-92.7624409851112</c:v>
                </c:pt>
                <c:pt idx="466">
                  <c:v>-93.2009502615085</c:v>
                </c:pt>
                <c:pt idx="467">
                  <c:v>-93.6406663540835</c:v>
                </c:pt>
                <c:pt idx="468">
                  <c:v>-94.0817738567488</c:v>
                </c:pt>
                <c:pt idx="469">
                  <c:v>-94.5244558941202</c:v>
                </c:pt>
                <c:pt idx="470">
                  <c:v>-94.9688940223044</c:v>
                </c:pt>
                <c:pt idx="471">
                  <c:v>-95.4152681220577</c:v>
                </c:pt>
                <c:pt idx="472">
                  <c:v>-95.8637562838363</c:v>
                </c:pt>
                <c:pt idx="473">
                  <c:v>-96.3145346842633</c:v>
                </c:pt>
                <c:pt idx="474">
                  <c:v>-96.7677774535522</c:v>
                </c:pt>
                <c:pt idx="475">
                  <c:v>-97.2236565334421</c:v>
                </c:pt>
                <c:pt idx="476">
                  <c:v>-97.682341525219</c:v>
                </c:pt>
                <c:pt idx="477">
                  <c:v>-98.1439995274203</c:v>
                </c:pt>
                <c:pt idx="478">
                  <c:v>-98.608794962844</c:v>
                </c:pt>
                <c:pt idx="479">
                  <c:v>-99.0768893945208</c:v>
                </c:pt>
                <c:pt idx="480">
                  <c:v>-99.5484413303349</c:v>
                </c:pt>
                <c:pt idx="481">
                  <c:v>-100.023606016029</c:v>
                </c:pt>
                <c:pt idx="482">
                  <c:v>-100.502535216369</c:v>
                </c:pt>
                <c:pt idx="483">
                  <c:v>-100.985376984308</c:v>
                </c:pt>
                <c:pt idx="484">
                  <c:v>-101.472275418026</c:v>
                </c:pt>
                <c:pt idx="485">
                  <c:v>-101.963370405823</c:v>
                </c:pt>
                <c:pt idx="486">
                  <c:v>-102.458797358892</c:v>
                </c:pt>
                <c:pt idx="487">
                  <c:v>-102.958686932081</c:v>
                </c:pt>
                <c:pt idx="488">
                  <c:v>-103.46316473286</c:v>
                </c:pt>
                <c:pt idx="489">
                  <c:v>-103.972351018796</c:v>
                </c:pt>
                <c:pt idx="490">
                  <c:v>-104.486360383946</c:v>
                </c:pt>
                <c:pt idx="491">
                  <c:v>-105.0053014347</c:v>
                </c:pt>
                <c:pt idx="492">
                  <c:v>-105.52927645572</c:v>
                </c:pt>
                <c:pt idx="493">
                  <c:v>-106.058381066764</c:v>
                </c:pt>
                <c:pt idx="494">
                  <c:v>-106.59270387132</c:v>
                </c:pt>
                <c:pt idx="495">
                  <c:v>-107.132326098116</c:v>
                </c:pt>
                <c:pt idx="496">
                  <c:v>-107.677321236736</c:v>
                </c:pt>
                <c:pt idx="497">
                  <c:v>-108.227754668727</c:v>
                </c:pt>
                <c:pt idx="498">
                  <c:v>-108.783683295742</c:v>
                </c:pt>
                <c:pt idx="499">
                  <c:v>-109.345155166441</c:v>
                </c:pt>
                <c:pt idx="500">
                  <c:v>-109.912209104031</c:v>
                </c:pt>
                <c:pt idx="501">
                  <c:v>-110.484874336507</c:v>
                </c:pt>
                <c:pt idx="502">
                  <c:v>-111.063170131804</c:v>
                </c:pt>
                <c:pt idx="503">
                  <c:v>-111.647105440262</c:v>
                </c:pt>
                <c:pt idx="504">
                  <c:v>-112.236678546916</c:v>
                </c:pt>
                <c:pt idx="505">
                  <c:v>-112.831876736336</c:v>
                </c:pt>
                <c:pt idx="506">
                  <c:v>-113.432675972785</c:v>
                </c:pt>
                <c:pt idx="507">
                  <c:v>-114.039040598669</c:v>
                </c:pt>
                <c:pt idx="508">
                  <c:v>-114.650923054297</c:v>
                </c:pt>
                <c:pt idx="509">
                  <c:v>-115.268263622049</c:v>
                </c:pt>
                <c:pt idx="510">
                  <c:v>-115.890990198116</c:v>
                </c:pt>
                <c:pt idx="511">
                  <c:v>-116.519018094988</c:v>
                </c:pt>
                <c:pt idx="512">
                  <c:v>-117.152249877855</c:v>
                </c:pt>
                <c:pt idx="513">
                  <c:v>-117.790575238028</c:v>
                </c:pt>
                <c:pt idx="514">
                  <c:v>-118.433870906419</c:v>
                </c:pt>
                <c:pt idx="515">
                  <c:v>-119.08200060999</c:v>
                </c:pt>
                <c:pt idx="516">
                  <c:v>-119.734815073901</c:v>
                </c:pt>
                <c:pt idx="517">
                  <c:v>-120.392152071893</c:v>
                </c:pt>
                <c:pt idx="518">
                  <c:v>-121.053836527178</c:v>
                </c:pt>
                <c:pt idx="519">
                  <c:v>-121.719680665829</c:v>
                </c:pt>
                <c:pt idx="520">
                  <c:v>-122.389484224289</c:v>
                </c:pt>
                <c:pt idx="521">
                  <c:v>-123.063034712289</c:v>
                </c:pt>
                <c:pt idx="522">
                  <c:v>-123.740107732002</c:v>
                </c:pt>
                <c:pt idx="523">
                  <c:v>-124.420467353833</c:v>
                </c:pt>
                <c:pt idx="524">
                  <c:v>-125.103866548776</c:v>
                </c:pt>
                <c:pt idx="525">
                  <c:v>-125.790047676738</c:v>
                </c:pt>
                <c:pt idx="526">
                  <c:v>-126.478743029725</c:v>
                </c:pt>
                <c:pt idx="527">
                  <c:v>-127.16967542827</c:v>
                </c:pt>
                <c:pt idx="528">
                  <c:v>-127.862558868914</c:v>
                </c:pt>
                <c:pt idx="529">
                  <c:v>-128.557099220055</c:v>
                </c:pt>
                <c:pt idx="530">
                  <c:v>-129.252994962942</c:v>
                </c:pt>
                <c:pt idx="531">
                  <c:v>-129.949937974125</c:v>
                </c:pt>
                <c:pt idx="532">
                  <c:v>-130.647614345173</c:v>
                </c:pt>
                <c:pt idx="533">
                  <c:v>-131.345705235076</c:v>
                </c:pt>
                <c:pt idx="534">
                  <c:v>-132.043887750371</c:v>
                </c:pt>
                <c:pt idx="535">
                  <c:v>-132.741835847676</c:v>
                </c:pt>
                <c:pt idx="536">
                  <c:v>-133.439221253075</c:v>
                </c:pt>
                <c:pt idx="537">
                  <c:v>-134.135714392603</c:v>
                </c:pt>
                <c:pt idx="538">
                  <c:v>-134.830985327908</c:v>
                </c:pt>
                <c:pt idx="539">
                  <c:v>-135.524704691136</c:v>
                </c:pt>
                <c:pt idx="540">
                  <c:v>-136.216544613075</c:v>
                </c:pt>
                <c:pt idx="541">
                  <c:v>-136.906179638684</c:v>
                </c:pt>
              </c:numCache>
            </c:numRef>
          </c:yVal>
          <c:smooth val="1"/>
        </c:ser>
        <c:dLbls>
          <c:showLegendKey val="0"/>
          <c:showVal val="0"/>
          <c:showCatName val="0"/>
          <c:showSerName val="0"/>
          <c:showPercent val="0"/>
          <c:showBubbleSize val="0"/>
        </c:dLbls>
        <c:axId val="175891584"/>
        <c:axId val="175889792"/>
      </c:scatterChart>
      <c:valAx>
        <c:axId val="17588569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887872"/>
        <c:crosses val="autoZero"/>
        <c:crossBetween val="midCat"/>
      </c:valAx>
      <c:valAx>
        <c:axId val="175887872"/>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5885696"/>
        <c:crosses val="autoZero"/>
        <c:crossBetween val="midCat"/>
        <c:majorUnit val="20"/>
        <c:minorUnit val="10"/>
      </c:valAx>
      <c:valAx>
        <c:axId val="175891584"/>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889792"/>
        <c:crosses val="autoZero"/>
        <c:crossBetween val="midCat"/>
      </c:valAx>
      <c:valAx>
        <c:axId val="175889792"/>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5891584"/>
        <c:crosses val="max"/>
        <c:crossBetween val="midCat"/>
        <c:majorUnit val="90"/>
        <c:minorUnit val="45"/>
      </c:valAx>
    </c:plotArea>
    <c:plotVisOnly val="1"/>
    <c:dispBlanksAs val="gap"/>
    <c:showDLblsOverMax val="0"/>
    <c:extLst>
      <c:ext uri="{0b15fc19-7d7d-44ad-8c2d-2c3a37ce22c3}">
        <chartProps xmlns="https://web.wps.cn/et/2018/main" chartId="{eacd9145-f186-4656-9553-407a3899a6b8}"/>
      </c:ext>
    </c:extLst>
  </c:chart>
  <c:txPr>
    <a:bodyPr/>
    <a:lstStyle/>
    <a:p>
      <a:pPr>
        <a:defRPr lang="pl-PL"/>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DCM Plant Transfer</a:t>
            </a:r>
            <a:r>
              <a:rPr lang="en-US" baseline="0"/>
              <a:t> Function</a:t>
            </a:r>
            <a:endParaRPr lang="en-US"/>
          </a:p>
        </c:rich>
      </c:tx>
      <c:layout/>
      <c:overlay val="0"/>
    </c:title>
    <c:autoTitleDeleted val="0"/>
    <c:plotArea>
      <c:layout/>
      <c:scatterChart>
        <c:scatterStyle val="smooth"/>
        <c:varyColors val="0"/>
        <c:ser>
          <c:idx val="0"/>
          <c:order val="0"/>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Loop_Modeling!$AQ$19:$AQ$560</c:f>
              <c:numCache>
                <c:formatCode>General</c:formatCode>
                <c:ptCount val="542"/>
                <c:pt idx="0">
                  <c:v>57.0581845177005</c:v>
                </c:pt>
                <c:pt idx="1">
                  <c:v>57.039208995755</c:v>
                </c:pt>
                <c:pt idx="2">
                  <c:v>57.0194276509365</c:v>
                </c:pt>
                <c:pt idx="3">
                  <c:v>56.998810160899</c:v>
                </c:pt>
                <c:pt idx="4">
                  <c:v>56.9773253964021</c:v>
                </c:pt>
                <c:pt idx="5">
                  <c:v>56.9549414285819</c:v>
                </c:pt>
                <c:pt idx="6">
                  <c:v>56.9316255391911</c:v>
                </c:pt>
                <c:pt idx="7">
                  <c:v>56.9073442340126</c:v>
                </c:pt>
                <c:pt idx="8">
                  <c:v>56.882063259656</c:v>
                </c:pt>
                <c:pt idx="9">
                  <c:v>56.8557476239387</c:v>
                </c:pt>
                <c:pt idx="10">
                  <c:v>56.8283616200534</c:v>
                </c:pt>
                <c:pt idx="11">
                  <c:v>56.7998688547159</c:v>
                </c:pt>
                <c:pt idx="12">
                  <c:v>56.7702322804773</c:v>
                </c:pt>
                <c:pt idx="13">
                  <c:v>56.7394142323736</c:v>
                </c:pt>
                <c:pt idx="14">
                  <c:v>56.7073764690728</c:v>
                </c:pt>
                <c:pt idx="15">
                  <c:v>56.6740802186585</c:v>
                </c:pt>
                <c:pt idx="16">
                  <c:v>56.6394862291719</c:v>
                </c:pt>
                <c:pt idx="17">
                  <c:v>56.6035548240074</c:v>
                </c:pt>
                <c:pt idx="18">
                  <c:v>56.5662459622307</c:v>
                </c:pt>
                <c:pt idx="19">
                  <c:v>56.5275193038566</c:v>
                </c:pt>
                <c:pt idx="20">
                  <c:v>56.4873342800903</c:v>
                </c:pt>
                <c:pt idx="21">
                  <c:v>56.4456501684979</c:v>
                </c:pt>
                <c:pt idx="22">
                  <c:v>56.4024261730292</c:v>
                </c:pt>
                <c:pt idx="23">
                  <c:v>56.3576215087762</c:v>
                </c:pt>
                <c:pt idx="24">
                  <c:v>56.3111954912991</c:v>
                </c:pt>
                <c:pt idx="25">
                  <c:v>56.2631076303059</c:v>
                </c:pt>
                <c:pt idx="26">
                  <c:v>56.2133177274208</c:v>
                </c:pt>
                <c:pt idx="27">
                  <c:v>56.1617859777226</c:v>
                </c:pt>
                <c:pt idx="28">
                  <c:v>56.1084730746829</c:v>
                </c:pt>
                <c:pt idx="29">
                  <c:v>56.0533403180807</c:v>
                </c:pt>
                <c:pt idx="30">
                  <c:v>55.9963497244166</c:v>
                </c:pt>
                <c:pt idx="31">
                  <c:v>55.9374641393011</c:v>
                </c:pt>
                <c:pt idx="32">
                  <c:v>55.87664735124</c:v>
                </c:pt>
                <c:pt idx="33">
                  <c:v>55.8138642061968</c:v>
                </c:pt>
                <c:pt idx="34">
                  <c:v>55.7490807222711</c:v>
                </c:pt>
                <c:pt idx="35">
                  <c:v>55.6822642037929</c:v>
                </c:pt>
                <c:pt idx="36">
                  <c:v>55.6133833541064</c:v>
                </c:pt>
                <c:pt idx="37">
                  <c:v>55.5424083862902</c:v>
                </c:pt>
                <c:pt idx="38">
                  <c:v>55.4693111310467</c:v>
                </c:pt>
                <c:pt idx="39">
                  <c:v>55.3940651409842</c:v>
                </c:pt>
                <c:pt idx="40">
                  <c:v>55.3166457905183</c:v>
                </c:pt>
                <c:pt idx="41">
                  <c:v>55.2370303706272</c:v>
                </c:pt>
                <c:pt idx="42">
                  <c:v>55.1551981777167</c:v>
                </c:pt>
                <c:pt idx="43">
                  <c:v>55.0711305958779</c:v>
                </c:pt>
                <c:pt idx="44">
                  <c:v>54.984811171864</c:v>
                </c:pt>
                <c:pt idx="45">
                  <c:v>54.896225682153</c:v>
                </c:pt>
                <c:pt idx="46">
                  <c:v>54.8053621915299</c:v>
                </c:pt>
                <c:pt idx="47">
                  <c:v>54.7122111026767</c:v>
                </c:pt>
                <c:pt idx="48">
                  <c:v>54.6167651963401</c:v>
                </c:pt>
                <c:pt idx="49">
                  <c:v>54.5190196617203</c:v>
                </c:pt>
                <c:pt idx="50">
                  <c:v>54.4189721168101</c:v>
                </c:pt>
                <c:pt idx="51">
                  <c:v>54.3166226185036</c:v>
                </c:pt>
                <c:pt idx="52">
                  <c:v>54.2119736623825</c:v>
                </c:pt>
                <c:pt idx="53">
                  <c:v>54.1050301721834</c:v>
                </c:pt>
                <c:pt idx="54">
                  <c:v>53.9957994790388</c:v>
                </c:pt>
                <c:pt idx="55">
                  <c:v>53.8842912906801</c:v>
                </c:pt>
                <c:pt idx="56">
                  <c:v>53.770517650875</c:v>
                </c:pt>
                <c:pt idx="57">
                  <c:v>53.6544928894585</c:v>
                </c:pt>
                <c:pt idx="58">
                  <c:v>53.5362335633952</c:v>
                </c:pt>
                <c:pt idx="59">
                  <c:v>53.4157583893811</c:v>
                </c:pt>
                <c:pt idx="60">
                  <c:v>53.293088168561</c:v>
                </c:pt>
                <c:pt idx="61">
                  <c:v>53.1682457039907</c:v>
                </c:pt>
                <c:pt idx="62">
                  <c:v>53.0412557115244</c:v>
                </c:pt>
                <c:pt idx="63">
                  <c:v>52.9121447248427</c:v>
                </c:pt>
                <c:pt idx="64">
                  <c:v>52.7809409953681</c:v>
                </c:pt>
                <c:pt idx="65">
                  <c:v>52.6476743878332</c:v>
                </c:pt>
                <c:pt idx="66">
                  <c:v>52.5123762722754</c:v>
                </c:pt>
                <c:pt idx="67">
                  <c:v>52.3750794132356</c:v>
                </c:pt>
                <c:pt idx="68">
                  <c:v>52.235817856926</c:v>
                </c:pt>
                <c:pt idx="69">
                  <c:v>52.0946268171198</c:v>
                </c:pt>
                <c:pt idx="70">
                  <c:v>51.9515425604892</c:v>
                </c:pt>
                <c:pt idx="71">
                  <c:v>51.8066022920888</c:v>
                </c:pt>
                <c:pt idx="72">
                  <c:v>51.6598440416444</c:v>
                </c:pt>
                <c:pt idx="73">
                  <c:v>51.5113065512664</c:v>
                </c:pt>
                <c:pt idx="74">
                  <c:v>51.3610291651609</c:v>
                </c:pt>
                <c:pt idx="75">
                  <c:v>51.2090517218639</c:v>
                </c:pt>
                <c:pt idx="76">
                  <c:v>51.055414449472</c:v>
                </c:pt>
                <c:pt idx="77">
                  <c:v>50.9001578642907</c:v>
                </c:pt>
                <c:pt idx="78">
                  <c:v>50.74332267327</c:v>
                </c:pt>
                <c:pt idx="79">
                  <c:v>50.5849496805406</c:v>
                </c:pt>
                <c:pt idx="80">
                  <c:v>50.4250796983175</c:v>
                </c:pt>
                <c:pt idx="81">
                  <c:v>50.2637534623793</c:v>
                </c:pt>
                <c:pt idx="82">
                  <c:v>50.1010115522913</c:v>
                </c:pt>
                <c:pt idx="83">
                  <c:v>49.9368943164863</c:v>
                </c:pt>
                <c:pt idx="84">
                  <c:v>49.7714418022796</c:v>
                </c:pt>
                <c:pt idx="85">
                  <c:v>49.6046936908484</c:v>
                </c:pt>
                <c:pt idx="86">
                  <c:v>49.4366892371729</c:v>
                </c:pt>
                <c:pt idx="87">
                  <c:v>49.2674672148998</c:v>
                </c:pt>
                <c:pt idx="88">
                  <c:v>49.0970658660567</c:v>
                </c:pt>
                <c:pt idx="89">
                  <c:v>48.9255228555232</c:v>
                </c:pt>
                <c:pt idx="90">
                  <c:v>48.7528752301355</c:v>
                </c:pt>
                <c:pt idx="91">
                  <c:v>48.5791593822834</c:v>
                </c:pt>
                <c:pt idx="92">
                  <c:v>48.4044110178406</c:v>
                </c:pt>
                <c:pt idx="93">
                  <c:v>48.2286651282548</c:v>
                </c:pt>
                <c:pt idx="94">
                  <c:v>48.0519559666117</c:v>
                </c:pt>
                <c:pt idx="95">
                  <c:v>47.8743170274804</c:v>
                </c:pt>
                <c:pt idx="96">
                  <c:v>47.6957810303384</c:v>
                </c:pt>
                <c:pt idx="97">
                  <c:v>47.5163799063719</c:v>
                </c:pt>
                <c:pt idx="98">
                  <c:v>47.3361447884465</c:v>
                </c:pt>
                <c:pt idx="99">
                  <c:v>47.1551060040398</c:v>
                </c:pt>
                <c:pt idx="100">
                  <c:v>46.9732930709316</c:v>
                </c:pt>
                <c:pt idx="101">
                  <c:v>46.7907346954497</c:v>
                </c:pt>
                <c:pt idx="102">
                  <c:v>46.6074587730726</c:v>
                </c:pt>
                <c:pt idx="103">
                  <c:v>46.4234923911968</c:v>
                </c:pt>
                <c:pt idx="104">
                  <c:v>46.2388618338818</c:v>
                </c:pt>
                <c:pt idx="105">
                  <c:v>46.0535925883913</c:v>
                </c:pt>
                <c:pt idx="106">
                  <c:v>45.867709353361</c:v>
                </c:pt>
                <c:pt idx="107">
                  <c:v>45.6812360484258</c:v>
                </c:pt>
                <c:pt idx="108">
                  <c:v>45.4941958251491</c:v>
                </c:pt>
                <c:pt idx="109">
                  <c:v>45.3066110791091</c:v>
                </c:pt>
                <c:pt idx="110">
                  <c:v>45.1185034629987</c:v>
                </c:pt>
                <c:pt idx="111">
                  <c:v>44.9298939006086</c:v>
                </c:pt>
                <c:pt idx="112">
                  <c:v>44.7408026015726</c:v>
                </c:pt>
                <c:pt idx="113">
                  <c:v>44.5512490767562</c:v>
                </c:pt>
                <c:pt idx="114">
                  <c:v>44.3612521541861</c:v>
                </c:pt>
                <c:pt idx="115">
                  <c:v>44.1708299954185</c:v>
                </c:pt>
                <c:pt idx="116">
                  <c:v>43.9800001122574</c:v>
                </c:pt>
                <c:pt idx="117">
                  <c:v>43.7887793837376</c:v>
                </c:pt>
                <c:pt idx="118">
                  <c:v>43.5971840732963</c:v>
                </c:pt>
                <c:pt idx="119">
                  <c:v>43.405229846064</c:v>
                </c:pt>
                <c:pt idx="120">
                  <c:v>43.2129317862101</c:v>
                </c:pt>
                <c:pt idx="121">
                  <c:v>43.0203044142859</c:v>
                </c:pt>
                <c:pt idx="122">
                  <c:v>42.8273617045149</c:v>
                </c:pt>
                <c:pt idx="123">
                  <c:v>42.6341171019812</c:v>
                </c:pt>
                <c:pt idx="124">
                  <c:v>42.4405835396783</c:v>
                </c:pt>
                <c:pt idx="125">
                  <c:v>42.2467734553783</c:v>
                </c:pt>
                <c:pt idx="126">
                  <c:v>42.0526988082926</c:v>
                </c:pt>
                <c:pt idx="127">
                  <c:v>41.8583710954934</c:v>
                </c:pt>
                <c:pt idx="128">
                  <c:v>41.6638013680747</c:v>
                </c:pt>
                <c:pt idx="129">
                  <c:v>41.4690002470286</c:v>
                </c:pt>
                <c:pt idx="130">
                  <c:v>41.2739779388237</c:v>
                </c:pt>
                <c:pt idx="131">
                  <c:v>41.0787442506675</c:v>
                </c:pt>
                <c:pt idx="132">
                  <c:v>40.8833086054437</c:v>
                </c:pt>
                <c:pt idx="133">
                  <c:v>40.6876800563132</c:v>
                </c:pt>
                <c:pt idx="134">
                  <c:v>40.4918673009739</c:v>
                </c:pt>
                <c:pt idx="135">
                  <c:v>40.2958786955733</c:v>
                </c:pt>
                <c:pt idx="136">
                  <c:v>40.0997222682705</c:v>
                </c:pt>
                <c:pt idx="137">
                  <c:v>39.9034057324483</c:v>
                </c:pt>
                <c:pt idx="138">
                  <c:v>39.7069364995732</c:v>
                </c:pt>
                <c:pt idx="139">
                  <c:v>39.5103216917067</c:v>
                </c:pt>
                <c:pt idx="140">
                  <c:v>39.313568153671</c:v>
                </c:pt>
                <c:pt idx="141">
                  <c:v>39.1166824648706</c:v>
                </c:pt>
                <c:pt idx="142">
                  <c:v>38.9196709507784</c:v>
                </c:pt>
                <c:pt idx="143">
                  <c:v>38.7225396940891</c:v>
                </c:pt>
                <c:pt idx="144">
                  <c:v>38.5252945455478</c:v>
                </c:pt>
                <c:pt idx="145">
                  <c:v>38.3279411344611</c:v>
                </c:pt>
                <c:pt idx="146">
                  <c:v>38.1304848788975</c:v>
                </c:pt>
                <c:pt idx="147">
                  <c:v>37.932930995587</c:v>
                </c:pt>
                <c:pt idx="148">
                  <c:v>37.7352845095271</c:v>
                </c:pt>
                <c:pt idx="149">
                  <c:v>37.5375502633048</c:v>
                </c:pt>
                <c:pt idx="150">
                  <c:v>37.3397329261446</c:v>
                </c:pt>
                <c:pt idx="151">
                  <c:v>37.1418370026911</c:v>
                </c:pt>
                <c:pt idx="152">
                  <c:v>36.9438668415364</c:v>
                </c:pt>
                <c:pt idx="153">
                  <c:v>36.7458266435034</c:v>
                </c:pt>
                <c:pt idx="154">
                  <c:v>36.5477204696926</c:v>
                </c:pt>
                <c:pt idx="155">
                  <c:v>36.3495522493061</c:v>
                </c:pt>
                <c:pt idx="156">
                  <c:v>36.1513257872553</c:v>
                </c:pt>
                <c:pt idx="157">
                  <c:v>35.9530447715656</c:v>
                </c:pt>
                <c:pt idx="158">
                  <c:v>35.754712780588</c:v>
                </c:pt>
                <c:pt idx="159">
                  <c:v>35.5563332900254</c:v>
                </c:pt>
                <c:pt idx="160">
                  <c:v>35.3579096797888</c:v>
                </c:pt>
                <c:pt idx="161">
                  <c:v>35.1594452406879</c:v>
                </c:pt>
                <c:pt idx="162">
                  <c:v>34.960943180972</c:v>
                </c:pt>
                <c:pt idx="163">
                  <c:v>34.7624066327279</c:v>
                </c:pt>
                <c:pt idx="164">
                  <c:v>34.5638386581458</c:v>
                </c:pt>
                <c:pt idx="165">
                  <c:v>34.3652422556648</c:v>
                </c:pt>
                <c:pt idx="166">
                  <c:v>34.1666203660062</c:v>
                </c:pt>
                <c:pt idx="167">
                  <c:v>33.9679758781061</c:v>
                </c:pt>
                <c:pt idx="168">
                  <c:v>33.7693116349572</c:v>
                </c:pt>
                <c:pt idx="169">
                  <c:v>33.5706304393687</c:v>
                </c:pt>
                <c:pt idx="170">
                  <c:v>33.3719350596567</c:v>
                </c:pt>
                <c:pt idx="171">
                  <c:v>33.1732282352717</c:v>
                </c:pt>
                <c:pt idx="172">
                  <c:v>32.9745126823765</c:v>
                </c:pt>
                <c:pt idx="173">
                  <c:v>32.7757910993824</c:v>
                </c:pt>
                <c:pt idx="174">
                  <c:v>32.5770661724533</c:v>
                </c:pt>
                <c:pt idx="175">
                  <c:v>32.37834058099</c:v>
                </c:pt>
                <c:pt idx="176">
                  <c:v>32.179617003101</c:v>
                </c:pt>
                <c:pt idx="177">
                  <c:v>31.9808981210729</c:v>
                </c:pt>
                <c:pt idx="178">
                  <c:v>31.7821866268484</c:v>
                </c:pt>
                <c:pt idx="179">
                  <c:v>31.583485227522</c:v>
                </c:pt>
                <c:pt idx="180">
                  <c:v>31.3847966508643</c:v>
                </c:pt>
                <c:pt idx="181">
                  <c:v>31.1861236508829</c:v>
                </c:pt>
                <c:pt idx="182">
                  <c:v>30.9874690134325</c:v>
                </c:pt>
                <c:pt idx="183">
                  <c:v>30.788835561881</c:v>
                </c:pt>
                <c:pt idx="184">
                  <c:v>30.5902261628444</c:v>
                </c:pt>
                <c:pt idx="185">
                  <c:v>30.3916437319997</c:v>
                </c:pt>
                <c:pt idx="186">
                  <c:v>30.1930912399844</c:v>
                </c:pt>
                <c:pt idx="187">
                  <c:v>29.9945717183952</c:v>
                </c:pt>
                <c:pt idx="188">
                  <c:v>29.7960882658947</c:v>
                </c:pt>
                <c:pt idx="189">
                  <c:v>29.5976440544363</c:v>
                </c:pt>
                <c:pt idx="190">
                  <c:v>29.3992423356187</c:v>
                </c:pt>
                <c:pt idx="191">
                  <c:v>29.2008864471794</c:v>
                </c:pt>
                <c:pt idx="192">
                  <c:v>29.0025798196382</c:v>
                </c:pt>
                <c:pt idx="193">
                  <c:v>28.804325983101</c:v>
                </c:pt>
                <c:pt idx="194">
                  <c:v>28.606128574235</c:v>
                </c:pt>
                <c:pt idx="195">
                  <c:v>28.4079913434254</c:v>
                </c:pt>
                <c:pt idx="196">
                  <c:v>28.2099181621242</c:v>
                </c:pt>
                <c:pt idx="197">
                  <c:v>28.011913030403</c:v>
                </c:pt>
                <c:pt idx="198">
                  <c:v>27.8139800847184</c:v>
                </c:pt>
                <c:pt idx="199">
                  <c:v>27.6161236059035</c:v>
                </c:pt>
                <c:pt idx="200">
                  <c:v>27.4183480273931</c:v>
                </c:pt>
                <c:pt idx="201">
                  <c:v>27.2206579436964</c:v>
                </c:pt>
                <c:pt idx="202">
                  <c:v>27.0230581191256</c:v>
                </c:pt>
                <c:pt idx="203">
                  <c:v>26.8255534967912</c:v>
                </c:pt>
                <c:pt idx="204">
                  <c:v>26.6281492078759</c:v>
                </c:pt>
                <c:pt idx="205">
                  <c:v>26.4308505811948</c:v>
                </c:pt>
                <c:pt idx="206">
                  <c:v>26.233663153055</c:v>
                </c:pt>
                <c:pt idx="207">
                  <c:v>26.0365926774207</c:v>
                </c:pt>
                <c:pt idx="208">
                  <c:v>25.8396451363968</c:v>
                </c:pt>
                <c:pt idx="209">
                  <c:v>25.6428267510371</c:v>
                </c:pt>
                <c:pt idx="210">
                  <c:v>25.4461439924876</c:v>
                </c:pt>
                <c:pt idx="211">
                  <c:v>25.2496035934715</c:v>
                </c:pt>
                <c:pt idx="212">
                  <c:v>25.0532125601252</c:v>
                </c:pt>
                <c:pt idx="213">
                  <c:v>24.8569781841894</c:v>
                </c:pt>
                <c:pt idx="214">
                  <c:v>24.660908055564</c:v>
                </c:pt>
                <c:pt idx="215">
                  <c:v>24.4650100752293</c:v>
                </c:pt>
                <c:pt idx="216">
                  <c:v>24.2692924685398</c:v>
                </c:pt>
                <c:pt idx="217">
                  <c:v>24.0737637988912</c:v>
                </c:pt>
                <c:pt idx="218">
                  <c:v>23.8784329817638</c:v>
                </c:pt>
                <c:pt idx="219">
                  <c:v>23.6833092991416</c:v>
                </c:pt>
                <c:pt idx="220">
                  <c:v>23.4884024143051</c:v>
                </c:pt>
                <c:pt idx="221">
                  <c:v>23.2937223869957</c:v>
                </c:pt>
                <c:pt idx="222">
                  <c:v>23.0992796889452</c:v>
                </c:pt>
                <c:pt idx="223">
                  <c:v>22.9050852197625</c:v>
                </c:pt>
                <c:pt idx="224">
                  <c:v>22.7111503231696</c:v>
                </c:pt>
                <c:pt idx="225">
                  <c:v>22.5174868035716</c:v>
                </c:pt>
                <c:pt idx="226">
                  <c:v>22.3241069429472</c:v>
                </c:pt>
                <c:pt idx="227">
                  <c:v>22.1310235180401</c:v>
                </c:pt>
                <c:pt idx="228">
                  <c:v>21.938249817829</c:v>
                </c:pt>
                <c:pt idx="229">
                  <c:v>21.7457996612521</c:v>
                </c:pt>
                <c:pt idx="230">
                  <c:v>21.5536874151538</c:v>
                </c:pt>
                <c:pt idx="231">
                  <c:v>21.3619280124217</c:v>
                </c:pt>
                <c:pt idx="232">
                  <c:v>21.1705369702746</c:v>
                </c:pt>
                <c:pt idx="233">
                  <c:v>20.9795304086568</c:v>
                </c:pt>
                <c:pt idx="234">
                  <c:v>20.7889250686918</c:v>
                </c:pt>
                <c:pt idx="235">
                  <c:v>20.5987383311394</c:v>
                </c:pt>
                <c:pt idx="236">
                  <c:v>20.408988234796</c:v>
                </c:pt>
                <c:pt idx="237">
                  <c:v>20.2196934947725</c:v>
                </c:pt>
                <c:pt idx="238">
                  <c:v>20.0308735205744</c:v>
                </c:pt>
                <c:pt idx="239">
                  <c:v>19.8425484339061</c:v>
                </c:pt>
                <c:pt idx="240">
                  <c:v>19.6547390861109</c:v>
                </c:pt>
                <c:pt idx="241">
                  <c:v>19.4674670751507</c:v>
                </c:pt>
                <c:pt idx="242">
                  <c:v>19.2807547620252</c:v>
                </c:pt>
                <c:pt idx="243">
                  <c:v>19.0946252865174</c:v>
                </c:pt>
                <c:pt idx="244">
                  <c:v>18.9091025821483</c:v>
                </c:pt>
                <c:pt idx="245">
                  <c:v>18.7242113902121</c:v>
                </c:pt>
                <c:pt idx="246">
                  <c:v>18.5399772727587</c:v>
                </c:pt>
                <c:pt idx="247">
                  <c:v>18.3564266243771</c:v>
                </c:pt>
                <c:pt idx="248">
                  <c:v>18.1735866826303</c:v>
                </c:pt>
                <c:pt idx="249">
                  <c:v>17.9914855369798</c:v>
                </c:pt>
                <c:pt idx="250">
                  <c:v>17.8101521360335</c:v>
                </c:pt>
                <c:pt idx="251">
                  <c:v>17.6296162929406</c:v>
                </c:pt>
                <c:pt idx="252">
                  <c:v>17.4499086887537</c:v>
                </c:pt>
                <c:pt idx="253">
                  <c:v>17.271060873569</c:v>
                </c:pt>
                <c:pt idx="254">
                  <c:v>17.0931052652518</c:v>
                </c:pt>
                <c:pt idx="255">
                  <c:v>16.9160751455515</c:v>
                </c:pt>
                <c:pt idx="256">
                  <c:v>16.7400046534058</c:v>
                </c:pt>
                <c:pt idx="257">
                  <c:v>16.5649287752308</c:v>
                </c:pt>
                <c:pt idx="258">
                  <c:v>16.3908833320005</c:v>
                </c:pt>
                <c:pt idx="259">
                  <c:v>16.2179049629104</c:v>
                </c:pt>
                <c:pt idx="260">
                  <c:v>16.0460311054363</c:v>
                </c:pt>
                <c:pt idx="261">
                  <c:v>15.8752999715927</c:v>
                </c:pt>
                <c:pt idx="262">
                  <c:v>15.7057505202177</c:v>
                </c:pt>
                <c:pt idx="263">
                  <c:v>15.5374224251086</c:v>
                </c:pt>
                <c:pt idx="264">
                  <c:v>15.3703560388584</c:v>
                </c:pt>
                <c:pt idx="265">
                  <c:v>15.2045923522536</c:v>
                </c:pt>
                <c:pt idx="266">
                  <c:v>15.0401729491164</c:v>
                </c:pt>
                <c:pt idx="267">
                  <c:v>14.8771399564992</c:v>
                </c:pt>
                <c:pt idx="268">
                  <c:v>14.715535990163</c:v>
                </c:pt>
                <c:pt idx="269">
                  <c:v>14.5554040953069</c:v>
                </c:pt>
                <c:pt idx="270">
                  <c:v>14.3967876825444</c:v>
                </c:pt>
                <c:pt idx="271">
                  <c:v>14.2397304591641</c:v>
                </c:pt>
                <c:pt idx="272">
                  <c:v>14.0842763557493</c:v>
                </c:pt>
                <c:pt idx="273">
                  <c:v>13.9304694482772</c:v>
                </c:pt>
                <c:pt idx="274">
                  <c:v>13.7783538758633</c:v>
                </c:pt>
                <c:pt idx="275">
                  <c:v>13.6279737543656</c:v>
                </c:pt>
                <c:pt idx="276">
                  <c:v>13.4793730861126</c:v>
                </c:pt>
                <c:pt idx="277">
                  <c:v>13.3325956660746</c:v>
                </c:pt>
                <c:pt idx="278">
                  <c:v>13.1876849848456</c:v>
                </c:pt>
                <c:pt idx="279">
                  <c:v>13.0446841288601</c:v>
                </c:pt>
                <c:pt idx="280">
                  <c:v>12.9036356783214</c:v>
                </c:pt>
                <c:pt idx="281">
                  <c:v>12.7645816033653</c:v>
                </c:pt>
                <c:pt idx="282">
                  <c:v>12.6275631590368</c:v>
                </c:pt>
                <c:pt idx="283">
                  <c:v>12.4926207797006</c:v>
                </c:pt>
                <c:pt idx="284">
                  <c:v>12.3597939735473</c:v>
                </c:pt>
                <c:pt idx="285">
                  <c:v>12.2291212178959</c:v>
                </c:pt>
                <c:pt idx="286">
                  <c:v>12.1006398560234</c:v>
                </c:pt>
                <c:pt idx="287">
                  <c:v>11.9743859962753</c:v>
                </c:pt>
                <c:pt idx="288">
                  <c:v>11.8503944142295</c:v>
                </c:pt>
                <c:pt idx="289">
                  <c:v>11.7286984586945</c:v>
                </c:pt>
                <c:pt idx="290">
                  <c:v>11.6093299623196</c:v>
                </c:pt>
                <c:pt idx="291">
                  <c:v>11.492319157591</c:v>
                </c:pt>
                <c:pt idx="292">
                  <c:v>11.3776945989628</c:v>
                </c:pt>
                <c:pt idx="293">
                  <c:v>11.2654830918477</c:v>
                </c:pt>
                <c:pt idx="294">
                  <c:v>11.1557096291508</c:v>
                </c:pt>
                <c:pt idx="295">
                  <c:v>11.0483973359838</c:v>
                </c:pt>
                <c:pt idx="296">
                  <c:v>10.94356742314</c:v>
                </c:pt>
                <c:pt idx="297">
                  <c:v>10.8412391498428</c:v>
                </c:pt>
                <c:pt idx="298">
                  <c:v>10.7414297962099</c:v>
                </c:pt>
                <c:pt idx="299">
                  <c:v>10.6441546457943</c:v>
                </c:pt>
                <c:pt idx="300">
                  <c:v>10.5494269784761</c:v>
                </c:pt>
                <c:pt idx="301">
                  <c:v>10.4572580738912</c:v>
                </c:pt>
                <c:pt idx="302">
                  <c:v>10.3676572254868</c:v>
                </c:pt>
                <c:pt idx="303">
                  <c:v>10.2806317651999</c:v>
                </c:pt>
                <c:pt idx="304">
                  <c:v>10.1961870986586</c:v>
                </c:pt>
                <c:pt idx="305">
                  <c:v>10.1143267507098</c:v>
                </c:pt>
                <c:pt idx="306">
                  <c:v>10.0350524209864</c:v>
                </c:pt>
                <c:pt idx="307">
                  <c:v>9.95836404913539</c:v>
                </c:pt>
                <c:pt idx="308">
                  <c:v>9.88425988924588</c:v>
                </c:pt>
                <c:pt idx="309">
                  <c:v>9.81273659293789</c:v>
                </c:pt>
                <c:pt idx="310">
                  <c:v>9.74378930050033</c:v>
                </c:pt>
                <c:pt idx="311">
                  <c:v>9.67741173940419</c:v>
                </c:pt>
                <c:pt idx="312">
                  <c:v>9.61359632946125</c:v>
                </c:pt>
                <c:pt idx="313">
                  <c:v>9.55233429385418</c:v>
                </c:pt>
                <c:pt idx="314">
                  <c:v>9.49361577522418</c:v>
                </c:pt>
                <c:pt idx="315">
                  <c:v>9.43742995597787</c:v>
                </c:pt>
                <c:pt idx="316">
                  <c:v>9.38376518195407</c:v>
                </c:pt>
                <c:pt idx="317">
                  <c:v>9.33260908858342</c:v>
                </c:pt>
                <c:pt idx="318">
                  <c:v>9.28394872867178</c:v>
                </c:pt>
                <c:pt idx="319">
                  <c:v>9.23777070094653</c:v>
                </c:pt>
                <c:pt idx="320">
                  <c:v>9.19406127851733</c:v>
                </c:pt>
                <c:pt idx="321">
                  <c:v>9.15280653642695</c:v>
                </c:pt>
                <c:pt idx="322">
                  <c:v>9.11399247749242</c:v>
                </c:pt>
                <c:pt idx="323">
                  <c:v>9.07760515566993</c:v>
                </c:pt>
                <c:pt idx="324">
                  <c:v>9.04363079621374</c:v>
                </c:pt>
                <c:pt idx="325">
                  <c:v>9.01205591193775</c:v>
                </c:pt>
                <c:pt idx="326">
                  <c:v>8.98286741493329</c:v>
                </c:pt>
                <c:pt idx="327">
                  <c:v>8.95605272313824</c:v>
                </c:pt>
                <c:pt idx="328">
                  <c:v>8.93159986120062</c:v>
                </c:pt>
                <c:pt idx="329">
                  <c:v>8.90949755512508</c:v>
                </c:pt>
                <c:pt idx="330">
                  <c:v>8.88973532023641</c:v>
                </c:pt>
                <c:pt idx="331">
                  <c:v>8.8723035420409</c:v>
                </c:pt>
                <c:pt idx="332">
                  <c:v>8.85719354961141</c:v>
                </c:pt>
                <c:pt idx="333">
                  <c:v>8.8443976811656</c:v>
                </c:pt>
                <c:pt idx="334">
                  <c:v>8.83390934154929</c:v>
                </c:pt>
                <c:pt idx="335">
                  <c:v>8.82572305138036</c:v>
                </c:pt>
                <c:pt idx="336">
                  <c:v>8.81983448764573</c:v>
                </c:pt>
                <c:pt idx="337">
                  <c:v>8.81624051558572</c:v>
                </c:pt>
                <c:pt idx="338">
                  <c:v>8.81493921173659</c:v>
                </c:pt>
                <c:pt idx="339">
                  <c:v>8.81592987803866</c:v>
                </c:pt>
                <c:pt idx="340">
                  <c:v>8.81921304695491</c:v>
                </c:pt>
                <c:pt idx="341">
                  <c:v>8.82479047757856</c:v>
                </c:pt>
                <c:pt idx="342">
                  <c:v>8.83266514274716</c:v>
                </c:pt>
                <c:pt idx="343">
                  <c:v>8.84284120721136</c:v>
                </c:pt>
                <c:pt idx="344">
                  <c:v>8.85532399694824</c:v>
                </c:pt>
                <c:pt idx="345">
                  <c:v>8.87011995974157</c:v>
                </c:pt>
                <c:pt idx="346">
                  <c:v>8.88723661719102</c:v>
                </c:pt>
                <c:pt idx="347">
                  <c:v>8.90668250835081</c:v>
                </c:pt>
                <c:pt idx="348">
                  <c:v>8.92846712523844</c:v>
                </c:pt>
                <c:pt idx="349">
                  <c:v>8.95260084049483</c:v>
                </c:pt>
                <c:pt idx="350">
                  <c:v>8.97909482752063</c:v>
                </c:pt>
                <c:pt idx="351">
                  <c:v>9.00796097345724</c:v>
                </c:pt>
                <c:pt idx="352">
                  <c:v>9.03921178542505</c:v>
                </c:pt>
                <c:pt idx="353">
                  <c:v>9.07286029047913</c:v>
                </c:pt>
                <c:pt idx="354">
                  <c:v>9.10891992978674</c:v>
                </c:pt>
                <c:pt idx="355">
                  <c:v>9.14740444757809</c:v>
                </c:pt>
                <c:pt idx="356">
                  <c:v>9.18832777546922</c:v>
                </c:pt>
                <c:pt idx="357">
                  <c:v>9.23170391279601</c:v>
                </c:pt>
                <c:pt idx="358">
                  <c:v>9.27754680364764</c:v>
                </c:pt>
                <c:pt idx="359">
                  <c:v>9.32587021132095</c:v>
                </c:pt>
                <c:pt idx="360">
                  <c:v>9.37668759096079</c:v>
                </c:pt>
                <c:pt idx="361">
                  <c:v>9.43001196117856</c:v>
                </c:pt>
                <c:pt idx="362">
                  <c:v>9.4858557754735</c:v>
                </c:pt>
                <c:pt idx="363">
                  <c:v>9.54423079430003</c:v>
                </c:pt>
                <c:pt idx="364">
                  <c:v>9.6051479586414</c:v>
                </c:pt>
                <c:pt idx="365">
                  <c:v>9.66861726595888</c:v>
                </c:pt>
                <c:pt idx="366">
                  <c:v>9.73464764938297</c:v>
                </c:pt>
                <c:pt idx="367">
                  <c:v>9.80324686100847</c:v>
                </c:pt>
                <c:pt idx="368">
                  <c:v>9.87442136013507</c:v>
                </c:pt>
                <c:pt idx="369">
                  <c:v>9.94817620727078</c:v>
                </c:pt>
                <c:pt idx="370">
                  <c:v>10.0245149646783</c:v>
                </c:pt>
                <c:pt idx="371">
                  <c:v>10.1034396042011</c:v>
                </c:pt>
                <c:pt idx="372">
                  <c:v>10.1849504230513</c:v>
                </c:pt>
                <c:pt idx="373">
                  <c:v>10.2690459681783</c:v>
                </c:pt>
                <c:pt idx="374">
                  <c:v>10.3557229697702</c:v>
                </c:pt>
                <c:pt idx="375">
                  <c:v>10.4449762843579</c:v>
                </c:pt>
                <c:pt idx="376">
                  <c:v>10.5367988479131</c:v>
                </c:pt>
                <c:pt idx="377">
                  <c:v>10.6311816392394</c:v>
                </c:pt>
                <c:pt idx="378">
                  <c:v>10.7281136538648</c:v>
                </c:pt>
                <c:pt idx="379">
                  <c:v>10.8275818885511</c:v>
                </c:pt>
                <c:pt idx="380">
                  <c:v>10.9295713364337</c:v>
                </c:pt>
                <c:pt idx="381">
                  <c:v>11.0340649927181</c:v>
                </c:pt>
                <c:pt idx="382">
                  <c:v>11.1410438707572</c:v>
                </c:pt>
                <c:pt idx="383">
                  <c:v>11.2504870282497</c:v>
                </c:pt>
                <c:pt idx="384">
                  <c:v>11.3623716032062</c:v>
                </c:pt>
                <c:pt idx="385">
                  <c:v>11.4766728592564</c:v>
                </c:pt>
                <c:pt idx="386">
                  <c:v>11.5933642397898</c:v>
                </c:pt>
                <c:pt idx="387">
                  <c:v>11.7124174303598</c:v>
                </c:pt>
                <c:pt idx="388">
                  <c:v>11.8338024287219</c:v>
                </c:pt>
                <c:pt idx="389">
                  <c:v>11.9574876218265</c:v>
                </c:pt>
                <c:pt idx="390">
                  <c:v>12.0834398690488</c:v>
                </c:pt>
                <c:pt idx="391">
                  <c:v>12.2116245909066</c:v>
                </c:pt>
                <c:pt idx="392">
                  <c:v>12.3420058624988</c:v>
                </c:pt>
                <c:pt idx="393">
                  <c:v>12.4745465108831</c:v>
                </c:pt>
                <c:pt idx="394">
                  <c:v>12.6092082156145</c:v>
                </c:pt>
                <c:pt idx="395">
                  <c:v>12.7459516116695</c:v>
                </c:pt>
                <c:pt idx="396">
                  <c:v>12.8847363939994</c:v>
                </c:pt>
                <c:pt idx="397">
                  <c:v>13.025521422978</c:v>
                </c:pt>
                <c:pt idx="398">
                  <c:v>13.1682648300397</c:v>
                </c:pt>
                <c:pt idx="399">
                  <c:v>13.3129241228397</c:v>
                </c:pt>
                <c:pt idx="400">
                  <c:v>13.4594562893094</c:v>
                </c:pt>
                <c:pt idx="401">
                  <c:v>13.6078179000255</c:v>
                </c:pt>
                <c:pt idx="402">
                  <c:v>13.7579652083582</c:v>
                </c:pt>
                <c:pt idx="403">
                  <c:v>13.9098542479173</c:v>
                </c:pt>
                <c:pt idx="404">
                  <c:v>14.0634409268672</c:v>
                </c:pt>
                <c:pt idx="405">
                  <c:v>14.2186811187295</c:v>
                </c:pt>
                <c:pt idx="406">
                  <c:v>14.3755307493538</c:v>
                </c:pt>
                <c:pt idx="407">
                  <c:v>14.5339458797819</c:v>
                </c:pt>
                <c:pt idx="408">
                  <c:v>14.6938827847852</c:v>
                </c:pt>
                <c:pt idx="409">
                  <c:v>14.8552980269015</c:v>
                </c:pt>
                <c:pt idx="410">
                  <c:v>15.0181485258488</c:v>
                </c:pt>
                <c:pt idx="411">
                  <c:v>15.1823916232301</c:v>
                </c:pt>
                <c:pt idx="412">
                  <c:v>15.3479851424924</c:v>
                </c:pt>
                <c:pt idx="413">
                  <c:v>15.5148874441338</c:v>
                </c:pt>
                <c:pt idx="414">
                  <c:v>15.6830574761912</c:v>
                </c:pt>
                <c:pt idx="415">
                  <c:v>15.8524548200718</c:v>
                </c:pt>
                <c:pt idx="416">
                  <c:v>16.0230397318162</c:v>
                </c:pt>
                <c:pt idx="417">
                  <c:v>16.1947731789093</c:v>
                </c:pt>
                <c:pt idx="418">
                  <c:v>16.3676168727726</c:v>
                </c:pt>
                <c:pt idx="419">
                  <c:v>16.5415332970909</c:v>
                </c:pt>
                <c:pt idx="420">
                  <c:v>16.7164857321408</c:v>
                </c:pt>
                <c:pt idx="421">
                  <c:v>16.8924382753008</c:v>
                </c:pt>
                <c:pt idx="422">
                  <c:v>17.0693558579284</c:v>
                </c:pt>
                <c:pt idx="423">
                  <c:v>17.2472042588026</c:v>
                </c:pt>
                <c:pt idx="424">
                  <c:v>17.4259501143281</c:v>
                </c:pt>
                <c:pt idx="425">
                  <c:v>17.6055609257026</c:v>
                </c:pt>
                <c:pt idx="426">
                  <c:v>17.7860050632505</c:v>
                </c:pt>
                <c:pt idx="427">
                  <c:v>17.9672517681208</c:v>
                </c:pt>
                <c:pt idx="428">
                  <c:v>18.1492711515491</c:v>
                </c:pt>
                <c:pt idx="429">
                  <c:v>18.3320341918756</c:v>
                </c:pt>
                <c:pt idx="430">
                  <c:v>18.5155127295082</c:v>
                </c:pt>
                <c:pt idx="431">
                  <c:v>18.6996794600144</c:v>
                </c:pt>
                <c:pt idx="432">
                  <c:v>18.8845079255164</c:v>
                </c:pt>
                <c:pt idx="433">
                  <c:v>19.0699725045596</c:v>
                </c:pt>
                <c:pt idx="434">
                  <c:v>19.2560484006146</c:v>
                </c:pt>
                <c:pt idx="435">
                  <c:v>19.4427116293678</c:v>
                </c:pt>
                <c:pt idx="436">
                  <c:v>19.6299390049429</c:v>
                </c:pt>
                <c:pt idx="437">
                  <c:v>19.8177081251928</c:v>
                </c:pt>
                <c:pt idx="438">
                  <c:v>20.0059973561894</c:v>
                </c:pt>
                <c:pt idx="439">
                  <c:v>20.1947858160306</c:v>
                </c:pt>
                <c:pt idx="440">
                  <c:v>20.3840533580776</c:v>
                </c:pt>
                <c:pt idx="441">
                  <c:v>20.5737805537275</c:v>
                </c:pt>
                <c:pt idx="442">
                  <c:v>20.7639486748148</c:v>
                </c:pt>
                <c:pt idx="443">
                  <c:v>20.9545396757339</c:v>
                </c:pt>
                <c:pt idx="444">
                  <c:v>21.1455361753609</c:v>
                </c:pt>
                <c:pt idx="445">
                  <c:v>21.3369214388522</c:v>
                </c:pt>
                <c:pt idx="446">
                  <c:v>21.5286793593862</c:v>
                </c:pt>
                <c:pt idx="447">
                  <c:v>21.72079443991</c:v>
                </c:pt>
                <c:pt idx="448">
                  <c:v>21.9132517749469</c:v>
                </c:pt>
                <c:pt idx="449">
                  <c:v>22.1060370325156</c:v>
                </c:pt>
                <c:pt idx="450">
                  <c:v>22.2991364362037</c:v>
                </c:pt>
                <c:pt idx="451">
                  <c:v>22.4925367474384</c:v>
                </c:pt>
                <c:pt idx="452">
                  <c:v>22.6862252479864</c:v>
                </c:pt>
                <c:pt idx="453">
                  <c:v>22.8801897227163</c:v>
                </c:pt>
                <c:pt idx="454">
                  <c:v>23.074418442649</c:v>
                </c:pt>
                <c:pt idx="455">
                  <c:v>23.2689001483196</c:v>
                </c:pt>
                <c:pt idx="456">
                  <c:v>23.4636240334709</c:v>
                </c:pt>
                <c:pt idx="457">
                  <c:v>23.6585797290933</c:v>
                </c:pt>
                <c:pt idx="458">
                  <c:v>23.8537572878288</c:v>
                </c:pt>
                <c:pt idx="459">
                  <c:v>24.0491471687447</c:v>
                </c:pt>
                <c:pt idx="460">
                  <c:v>24.2447402224899</c:v>
                </c:pt>
                <c:pt idx="461">
                  <c:v>24.4405276768387</c:v>
                </c:pt>
                <c:pt idx="462">
                  <c:v>24.6365011226256</c:v>
                </c:pt>
                <c:pt idx="463">
                  <c:v>24.8326525000763</c:v>
                </c:pt>
                <c:pt idx="464">
                  <c:v>25.0289740855327</c:v>
                </c:pt>
                <c:pt idx="465">
                  <c:v>25.2254584785742</c:v>
                </c:pt>
                <c:pt idx="466">
                  <c:v>25.4220985895328</c:v>
                </c:pt>
                <c:pt idx="467">
                  <c:v>25.618887627398</c:v>
                </c:pt>
                <c:pt idx="468">
                  <c:v>25.8158190881093</c:v>
                </c:pt>
                <c:pt idx="469">
                  <c:v>26.0128867432318</c:v>
                </c:pt>
                <c:pt idx="470">
                  <c:v>26.2100846290063</c:v>
                </c:pt>
                <c:pt idx="471">
                  <c:v>26.407407035773</c:v>
                </c:pt>
                <c:pt idx="472">
                  <c:v>26.6048484977569</c:v>
                </c:pt>
                <c:pt idx="473">
                  <c:v>26.8024037832108</c:v>
                </c:pt>
                <c:pt idx="474">
                  <c:v>27.0000678849078</c:v>
                </c:pt>
                <c:pt idx="475">
                  <c:v>27.1978360109749</c:v>
                </c:pt>
                <c:pt idx="476">
                  <c:v>27.3957035760592</c:v>
                </c:pt>
                <c:pt idx="477">
                  <c:v>27.5936661928195</c:v>
                </c:pt>
                <c:pt idx="478">
                  <c:v>27.7917196637334</c:v>
                </c:pt>
                <c:pt idx="479">
                  <c:v>27.9898599732128</c:v>
                </c:pt>
                <c:pt idx="480">
                  <c:v>28.1880832800174</c:v>
                </c:pt>
                <c:pt idx="481">
                  <c:v>28.3863859099581</c:v>
                </c:pt>
                <c:pt idx="482">
                  <c:v>28.5847643488829</c:v>
                </c:pt>
                <c:pt idx="483">
                  <c:v>28.783215235934</c:v>
                </c:pt>
                <c:pt idx="484">
                  <c:v>28.9817353570698</c:v>
                </c:pt>
                <c:pt idx="485">
                  <c:v>29.180321638842</c:v>
                </c:pt>
                <c:pt idx="486">
                  <c:v>29.3789711424196</c:v>
                </c:pt>
                <c:pt idx="487">
                  <c:v>29.5776810578524</c:v>
                </c:pt>
                <c:pt idx="488">
                  <c:v>29.7764486985633</c:v>
                </c:pt>
                <c:pt idx="489">
                  <c:v>29.9752714960654</c:v>
                </c:pt>
                <c:pt idx="490">
                  <c:v>30.1741469948917</c:v>
                </c:pt>
                <c:pt idx="491">
                  <c:v>30.373072847733</c:v>
                </c:pt>
                <c:pt idx="492">
                  <c:v>30.572046810775</c:v>
                </c:pt>
                <c:pt idx="493">
                  <c:v>30.7710667392272</c:v>
                </c:pt>
                <c:pt idx="494">
                  <c:v>30.970130583037</c:v>
                </c:pt>
                <c:pt idx="495">
                  <c:v>31.1692363827826</c:v>
                </c:pt>
                <c:pt idx="496">
                  <c:v>31.3683822657355</c:v>
                </c:pt>
                <c:pt idx="497">
                  <c:v>31.5675664420904</c:v>
                </c:pt>
                <c:pt idx="498">
                  <c:v>31.7667872013505</c:v>
                </c:pt>
                <c:pt idx="499">
                  <c:v>31.9660429088676</c:v>
                </c:pt>
                <c:pt idx="500">
                  <c:v>32.1653320025274</c:v>
                </c:pt>
                <c:pt idx="501">
                  <c:v>32.3646529895753</c:v>
                </c:pt>
                <c:pt idx="502">
                  <c:v>32.5640044435777</c:v>
                </c:pt>
                <c:pt idx="503">
                  <c:v>32.7633850015121</c:v>
                </c:pt>
                <c:pt idx="504">
                  <c:v>32.9627933609827</c:v>
                </c:pt>
                <c:pt idx="505">
                  <c:v>33.162228277554</c:v>
                </c:pt>
                <c:pt idx="506">
                  <c:v>33.3616885622002</c:v>
                </c:pt>
                <c:pt idx="507">
                  <c:v>33.5611730788631</c:v>
                </c:pt>
                <c:pt idx="508">
                  <c:v>33.7606807421168</c:v>
                </c:pt>
                <c:pt idx="509">
                  <c:v>33.960210514932</c:v>
                </c:pt>
                <c:pt idx="510">
                  <c:v>34.1597614065378</c:v>
                </c:pt>
                <c:pt idx="511">
                  <c:v>34.3593324703763</c:v>
                </c:pt>
                <c:pt idx="512">
                  <c:v>34.5589228021455</c:v>
                </c:pt>
                <c:pt idx="513">
                  <c:v>34.7585315379282</c:v>
                </c:pt>
                <c:pt idx="514">
                  <c:v>34.9581578524019</c:v>
                </c:pt>
                <c:pt idx="515">
                  <c:v>35.1578009571267</c:v>
                </c:pt>
                <c:pt idx="516">
                  <c:v>35.357460098909</c:v>
                </c:pt>
                <c:pt idx="517">
                  <c:v>35.5571345582354</c:v>
                </c:pt>
                <c:pt idx="518">
                  <c:v>35.7568236477764</c:v>
                </c:pt>
                <c:pt idx="519">
                  <c:v>35.9565267109556</c:v>
                </c:pt>
                <c:pt idx="520">
                  <c:v>36.1562431205811</c:v>
                </c:pt>
                <c:pt idx="521">
                  <c:v>36.355972277538</c:v>
                </c:pt>
                <c:pt idx="522">
                  <c:v>36.5557136095377</c:v>
                </c:pt>
                <c:pt idx="523">
                  <c:v>36.7554665699224</c:v>
                </c:pt>
                <c:pt idx="524">
                  <c:v>36.9552306365233</c:v>
                </c:pt>
                <c:pt idx="525">
                  <c:v>37.1550053105682</c:v>
                </c:pt>
                <c:pt idx="526">
                  <c:v>37.3547901156373</c:v>
                </c:pt>
                <c:pt idx="527">
                  <c:v>37.554584596666</c:v>
                </c:pt>
                <c:pt idx="528">
                  <c:v>37.7543883189914</c:v>
                </c:pt>
                <c:pt idx="529">
                  <c:v>37.954200867441</c:v>
                </c:pt>
                <c:pt idx="530">
                  <c:v>38.1540218454618</c:v>
                </c:pt>
                <c:pt idx="531">
                  <c:v>38.3538508742882</c:v>
                </c:pt>
                <c:pt idx="532">
                  <c:v>38.5536875921466</c:v>
                </c:pt>
                <c:pt idx="533">
                  <c:v>38.7535316534957</c:v>
                </c:pt>
                <c:pt idx="534">
                  <c:v>38.9533827283002</c:v>
                </c:pt>
                <c:pt idx="535">
                  <c:v>39.1532405013371</c:v>
                </c:pt>
                <c:pt idx="536">
                  <c:v>39.3531046715322</c:v>
                </c:pt>
                <c:pt idx="537">
                  <c:v>39.5529749513276</c:v>
                </c:pt>
                <c:pt idx="538">
                  <c:v>39.7528510660753</c:v>
                </c:pt>
                <c:pt idx="539">
                  <c:v>39.9527327534601</c:v>
                </c:pt>
                <c:pt idx="540">
                  <c:v>40.152619762946</c:v>
                </c:pt>
                <c:pt idx="541">
                  <c:v>40.3525118552491</c:v>
                </c:pt>
              </c:numCache>
            </c:numRef>
          </c:yVal>
          <c:smooth val="1"/>
        </c:ser>
        <c:dLbls>
          <c:showLegendKey val="0"/>
          <c:showVal val="0"/>
          <c:showCatName val="0"/>
          <c:showSerName val="0"/>
          <c:showPercent val="0"/>
          <c:showBubbleSize val="0"/>
        </c:dLbls>
        <c:axId val="178856704"/>
        <c:axId val="178858624"/>
      </c:scatterChart>
      <c:scatterChart>
        <c:scatterStyle val="smooth"/>
        <c:varyColors val="0"/>
        <c:ser>
          <c:idx val="1"/>
          <c:order val="1"/>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Loop_Modeling!$AR$19:$AR$560</c:f>
              <c:numCache>
                <c:formatCode>General</c:formatCode>
                <c:ptCount val="542"/>
                <c:pt idx="0">
                  <c:v>-17.6992587978166</c:v>
                </c:pt>
                <c:pt idx="1">
                  <c:v>-18.084746749094</c:v>
                </c:pt>
                <c:pt idx="2">
                  <c:v>-18.4774526659552</c:v>
                </c:pt>
                <c:pt idx="3">
                  <c:v>-18.8774358378451</c:v>
                </c:pt>
                <c:pt idx="4">
                  <c:v>-19.2847509739201</c:v>
                </c:pt>
                <c:pt idx="5">
                  <c:v>-19.6994478517247</c:v>
                </c:pt>
                <c:pt idx="6">
                  <c:v>-20.1215709564269</c:v>
                </c:pt>
                <c:pt idx="7">
                  <c:v>-20.5511591114755</c:v>
                </c:pt>
                <c:pt idx="8">
                  <c:v>-20.9882451016851</c:v>
                </c:pt>
                <c:pt idx="9">
                  <c:v>-21.4328552898979</c:v>
                </c:pt>
                <c:pt idx="10">
                  <c:v>-21.8850092285324</c:v>
                </c:pt>
                <c:pt idx="11">
                  <c:v>-22.3447192674871</c:v>
                </c:pt>
                <c:pt idx="12">
                  <c:v>-22.8119901600268</c:v>
                </c:pt>
                <c:pt idx="13">
                  <c:v>-23.2868186684576</c:v>
                </c:pt>
                <c:pt idx="14">
                  <c:v>-23.7691931715496</c:v>
                </c:pt>
                <c:pt idx="15">
                  <c:v>-24.2590932758505</c:v>
                </c:pt>
                <c:pt idx="16">
                  <c:v>-24.7564894331794</c:v>
                </c:pt>
                <c:pt idx="17">
                  <c:v>-25.2613425667663</c:v>
                </c:pt>
                <c:pt idx="18">
                  <c:v>-25.7736037086389</c:v>
                </c:pt>
                <c:pt idx="19">
                  <c:v>-26.2932136510066</c:v>
                </c:pt>
                <c:pt idx="20">
                  <c:v>-26.8201026145129</c:v>
                </c:pt>
                <c:pt idx="21">
                  <c:v>-27.3541899363374</c:v>
                </c:pt>
                <c:pt idx="22">
                  <c:v>-27.8953837812148</c:v>
                </c:pt>
                <c:pt idx="23">
                  <c:v>-28.4435808785039</c:v>
                </c:pt>
                <c:pt idx="24">
                  <c:v>-28.9986662884722</c:v>
                </c:pt>
                <c:pt idx="25">
                  <c:v>-29.5605132009761</c:v>
                </c:pt>
                <c:pt idx="26">
                  <c:v>-30.1289827696771</c:v>
                </c:pt>
                <c:pt idx="27">
                  <c:v>-30.7039239848849</c:v>
                </c:pt>
                <c:pt idx="28">
                  <c:v>-31.2851735880027</c:v>
                </c:pt>
                <c:pt idx="29">
                  <c:v>-31.8725560304199</c:v>
                </c:pt>
                <c:pt idx="30">
                  <c:v>-32.4658834794978</c:v>
                </c:pt>
                <c:pt idx="31">
                  <c:v>-33.0649558740805</c:v>
                </c:pt>
                <c:pt idx="32">
                  <c:v>-33.6695610316774</c:v>
                </c:pt>
                <c:pt idx="33">
                  <c:v>-34.2794748091607</c:v>
                </c:pt>
                <c:pt idx="34">
                  <c:v>-34.8944613184541</c:v>
                </c:pt>
                <c:pt idx="35">
                  <c:v>-35.5142731983046</c:v>
                </c:pt>
                <c:pt idx="36">
                  <c:v>-36.1386519427871</c:v>
                </c:pt>
                <c:pt idx="37">
                  <c:v>-36.7673282867372</c:v>
                </c:pt>
                <c:pt idx="38">
                  <c:v>-37.4000226478121</c:v>
                </c:pt>
                <c:pt idx="39">
                  <c:v>-38.0364456243705</c:v>
                </c:pt>
                <c:pt idx="40">
                  <c:v>-38.6762985478352</c:v>
                </c:pt>
                <c:pt idx="41">
                  <c:v>-39.3192740876716</c:v>
                </c:pt>
                <c:pt idx="42">
                  <c:v>-39.96505690658</c:v>
                </c:pt>
                <c:pt idx="43">
                  <c:v>-40.6133243629775</c:v>
                </c:pt>
                <c:pt idx="44">
                  <c:v>-41.2637472573396</c:v>
                </c:pt>
                <c:pt idx="45">
                  <c:v>-41.9159906184894</c:v>
                </c:pt>
                <c:pt idx="46">
                  <c:v>-42.5697145254719</c:v>
                </c:pt>
                <c:pt idx="47">
                  <c:v>-43.2245749602549</c:v>
                </c:pt>
                <c:pt idx="48">
                  <c:v>-43.8802246861286</c:v>
                </c:pt>
                <c:pt idx="49">
                  <c:v>-44.5363141463854</c:v>
                </c:pt>
                <c:pt idx="50">
                  <c:v>-45.1924923776161</c:v>
                </c:pt>
                <c:pt idx="51">
                  <c:v>-45.8484079317852</c:v>
                </c:pt>
                <c:pt idx="52">
                  <c:v>-46.5037098011441</c:v>
                </c:pt>
                <c:pt idx="53">
                  <c:v>-47.1580483400038</c:v>
                </c:pt>
                <c:pt idx="54">
                  <c:v>-47.8110761774329</c:v>
                </c:pt>
                <c:pt idx="55">
                  <c:v>-48.4624491150418</c:v>
                </c:pt>
                <c:pt idx="56">
                  <c:v>-49.111827004208</c:v>
                </c:pt>
                <c:pt idx="57">
                  <c:v>-49.7588745973275</c:v>
                </c:pt>
                <c:pt idx="58">
                  <c:v>-50.4032623679825</c:v>
                </c:pt>
                <c:pt idx="59">
                  <c:v>-51.0446672952847</c:v>
                </c:pt>
                <c:pt idx="60">
                  <c:v>-51.6827736080429</c:v>
                </c:pt>
                <c:pt idx="61">
                  <c:v>-52.317273484874</c:v>
                </c:pt>
                <c:pt idx="62">
                  <c:v>-52.9478677068371</c:v>
                </c:pt>
                <c:pt idx="63">
                  <c:v>-53.5742662596955</c:v>
                </c:pt>
                <c:pt idx="64">
                  <c:v>-54.1961888834271</c:v>
                </c:pt>
                <c:pt idx="65">
                  <c:v>-54.8133655671342</c:v>
                </c:pt>
                <c:pt idx="66">
                  <c:v>-55.4255369880436</c:v>
                </c:pt>
                <c:pt idx="67">
                  <c:v>-56.032454893809</c:v>
                </c:pt>
                <c:pt idx="68">
                  <c:v>-56.6338824278346</c:v>
                </c:pt>
                <c:pt idx="69">
                  <c:v>-57.2295943978387</c:v>
                </c:pt>
                <c:pt idx="70">
                  <c:v>-57.8193774883239</c:v>
                </c:pt>
                <c:pt idx="71">
                  <c:v>-58.4030304180613</c:v>
                </c:pt>
                <c:pt idx="72">
                  <c:v>-58.9803640440871</c:v>
                </c:pt>
                <c:pt idx="73">
                  <c:v>-59.5512014140606</c:v>
                </c:pt>
                <c:pt idx="74">
                  <c:v>-60.1153777691497</c:v>
                </c:pt>
                <c:pt idx="75">
                  <c:v>-60.6727404998792</c:v>
                </c:pt>
                <c:pt idx="76">
                  <c:v>-61.223149057603</c:v>
                </c:pt>
                <c:pt idx="77">
                  <c:v>-61.7664748244453</c:v>
                </c:pt>
                <c:pt idx="78">
                  <c:v>-62.3026009446967</c:v>
                </c:pt>
                <c:pt idx="79">
                  <c:v>-62.8314221207532</c:v>
                </c:pt>
                <c:pt idx="80">
                  <c:v>-63.3528443767439</c:v>
                </c:pt>
                <c:pt idx="81">
                  <c:v>-63.8667847930272</c:v>
                </c:pt>
                <c:pt idx="82">
                  <c:v>-64.3731712147146</c:v>
                </c:pt>
                <c:pt idx="83">
                  <c:v>-64.8719419373582</c:v>
                </c:pt>
                <c:pt idx="84">
                  <c:v>-65.363045372863</c:v>
                </c:pt>
                <c:pt idx="85">
                  <c:v>-65.8464396985971</c:v>
                </c:pt>
                <c:pt idx="86">
                  <c:v>-66.3220924925711</c:v>
                </c:pt>
                <c:pt idx="87">
                  <c:v>-66.7899803574226</c:v>
                </c:pt>
                <c:pt idx="88">
                  <c:v>-67.2500885358098</c:v>
                </c:pt>
                <c:pt idx="89">
                  <c:v>-67.7024105196603</c:v>
                </c:pt>
                <c:pt idx="90">
                  <c:v>-68.1469476555697</c:v>
                </c:pt>
                <c:pt idx="91">
                  <c:v>-68.5837087484708</c:v>
                </c:pt>
                <c:pt idx="92">
                  <c:v>-69.0127096655392</c:v>
                </c:pt>
                <c:pt idx="93">
                  <c:v>-69.4339729421198</c:v>
                </c:pt>
                <c:pt idx="94">
                  <c:v>-69.8475273913014</c:v>
                </c:pt>
                <c:pt idx="95">
                  <c:v>-70.2534077185993</c:v>
                </c:pt>
                <c:pt idx="96">
                  <c:v>-70.6516541430422</c:v>
                </c:pt>
                <c:pt idx="97">
                  <c:v>-71.0423120258125</c:v>
                </c:pt>
                <c:pt idx="98">
                  <c:v>-71.4254315074331</c:v>
                </c:pt>
                <c:pt idx="99">
                  <c:v>-71.8010671543583</c:v>
                </c:pt>
                <c:pt idx="100">
                  <c:v>-72.1692776156907</c:v>
                </c:pt>
                <c:pt idx="101">
                  <c:v>-72.5301252906222</c:v>
                </c:pt>
                <c:pt idx="102">
                  <c:v>-72.8836760070781</c:v>
                </c:pt>
                <c:pt idx="103">
                  <c:v>-73.2299987119404</c:v>
                </c:pt>
                <c:pt idx="104">
                  <c:v>-73.5691651731216</c:v>
                </c:pt>
                <c:pt idx="105">
                  <c:v>-73.9012496936728</c:v>
                </c:pt>
                <c:pt idx="106">
                  <c:v>-74.2263288380263</c:v>
                </c:pt>
                <c:pt idx="107">
                  <c:v>-74.5444811704007</c:v>
                </c:pt>
                <c:pt idx="108">
                  <c:v>-74.855787005326</c:v>
                </c:pt>
                <c:pt idx="109">
                  <c:v>-75.1603281701907</c:v>
                </c:pt>
                <c:pt idx="110">
                  <c:v>-75.4581877796597</c:v>
                </c:pt>
                <c:pt idx="111">
                  <c:v>-75.749450021767</c:v>
                </c:pt>
                <c:pt idx="112">
                  <c:v>-76.0341999554451</c:v>
                </c:pt>
                <c:pt idx="113">
                  <c:v>-76.3125233192255</c:v>
                </c:pt>
                <c:pt idx="114">
                  <c:v>-76.5845063508112</c:v>
                </c:pt>
                <c:pt idx="115">
                  <c:v>-76.8502356172015</c:v>
                </c:pt>
                <c:pt idx="116">
                  <c:v>-77.1097978550303</c:v>
                </c:pt>
                <c:pt idx="117">
                  <c:v>-77.363279820767</c:v>
                </c:pt>
                <c:pt idx="118">
                  <c:v>-77.6107681504123</c:v>
                </c:pt>
                <c:pt idx="119">
                  <c:v>-77.8523492283216</c:v>
                </c:pt>
                <c:pt idx="120">
                  <c:v>-78.0881090647784</c:v>
                </c:pt>
                <c:pt idx="121">
                  <c:v>-78.3181331819409</c:v>
                </c:pt>
                <c:pt idx="122">
                  <c:v>-78.5425065077834</c:v>
                </c:pt>
                <c:pt idx="123">
                  <c:v>-78.7613132776613</c:v>
                </c:pt>
                <c:pt idx="124">
                  <c:v>-78.9746369431259</c:v>
                </c:pt>
                <c:pt idx="125">
                  <c:v>-79.1825600876283</c:v>
                </c:pt>
                <c:pt idx="126">
                  <c:v>-79.385164348753</c:v>
                </c:pt>
                <c:pt idx="127">
                  <c:v>-79.5825303466317</c:v>
                </c:pt>
                <c:pt idx="128">
                  <c:v>-79.7747376182017</c:v>
                </c:pt>
                <c:pt idx="129">
                  <c:v>-79.9618645569739</c:v>
                </c:pt>
                <c:pt idx="130">
                  <c:v>-80.1439883579942</c:v>
                </c:pt>
                <c:pt idx="131">
                  <c:v>-80.3211849676881</c:v>
                </c:pt>
                <c:pt idx="132">
                  <c:v>-80.4935290382919</c:v>
                </c:pt>
                <c:pt idx="133">
                  <c:v>-80.6610938865844</c:v>
                </c:pt>
                <c:pt idx="134">
                  <c:v>-80.8239514566426</c:v>
                </c:pt>
                <c:pt idx="135">
                  <c:v>-80.9821722863615</c:v>
                </c:pt>
                <c:pt idx="136">
                  <c:v>-81.1358254774832</c:v>
                </c:pt>
                <c:pt idx="137">
                  <c:v>-81.2849786688968</c:v>
                </c:pt>
                <c:pt idx="138">
                  <c:v>-81.4296980129795</c:v>
                </c:pt>
                <c:pt idx="139">
                  <c:v>-81.5700481547612</c:v>
                </c:pt>
                <c:pt idx="140">
                  <c:v>-81.7060922137036</c:v>
                </c:pt>
                <c:pt idx="141">
                  <c:v>-81.8378917679001</c:v>
                </c:pt>
                <c:pt idx="142">
                  <c:v>-81.9655068405071</c:v>
                </c:pt>
                <c:pt idx="143">
                  <c:v>-82.088995888231</c:v>
                </c:pt>
                <c:pt idx="144">
                  <c:v>-82.2084157917044</c:v>
                </c:pt>
                <c:pt idx="145">
                  <c:v>-82.3238218475932</c:v>
                </c:pt>
                <c:pt idx="146">
                  <c:v>-82.4352677622854</c:v>
                </c:pt>
                <c:pt idx="147">
                  <c:v>-82.5428056470221</c:v>
                </c:pt>
                <c:pt idx="148">
                  <c:v>-82.6464860143374</c:v>
                </c:pt>
                <c:pt idx="149">
                  <c:v>-82.7463577756847</c:v>
                </c:pt>
                <c:pt idx="150">
                  <c:v>-82.8424682401312</c:v>
                </c:pt>
                <c:pt idx="151">
                  <c:v>-82.9348631140123</c:v>
                </c:pt>
                <c:pt idx="152">
                  <c:v>-83.0235865014424</c:v>
                </c:pt>
                <c:pt idx="153">
                  <c:v>-83.1086809055874</c:v>
                </c:pt>
                <c:pt idx="154">
                  <c:v>-83.1901872306086</c:v>
                </c:pt>
                <c:pt idx="155">
                  <c:v>-83.2681447841939</c:v>
                </c:pt>
                <c:pt idx="156">
                  <c:v>-83.3425912805997</c:v>
                </c:pt>
                <c:pt idx="157">
                  <c:v>-83.4135628441306</c:v>
                </c:pt>
                <c:pt idx="158">
                  <c:v>-83.4810940129876</c:v>
                </c:pt>
                <c:pt idx="159">
                  <c:v>-83.5452177434267</c:v>
                </c:pt>
                <c:pt idx="160">
                  <c:v>-83.6059654141658</c:v>
                </c:pt>
                <c:pt idx="161">
                  <c:v>-83.6633668309901</c:v>
                </c:pt>
                <c:pt idx="162">
                  <c:v>-83.7174502315048</c:v>
                </c:pt>
                <c:pt idx="163">
                  <c:v>-83.7682422899918</c:v>
                </c:pt>
                <c:pt idx="164">
                  <c:v>-83.8157681223292</c:v>
                </c:pt>
                <c:pt idx="165">
                  <c:v>-83.8600512909354</c:v>
                </c:pt>
                <c:pt idx="166">
                  <c:v>-83.9011138097061</c:v>
                </c:pt>
                <c:pt idx="167">
                  <c:v>-83.9389761489123</c:v>
                </c:pt>
                <c:pt idx="168">
                  <c:v>-83.9736572400332</c:v>
                </c:pt>
                <c:pt idx="169">
                  <c:v>-84.0051744805004</c:v>
                </c:pt>
                <c:pt idx="170">
                  <c:v>-84.0335437383325</c:v>
                </c:pt>
                <c:pt idx="171">
                  <c:v>-84.0587793566426</c:v>
                </c:pt>
                <c:pt idx="172">
                  <c:v>-84.0808941580041</c:v>
                </c:pt>
                <c:pt idx="173">
                  <c:v>-84.0998994486626</c:v>
                </c:pt>
                <c:pt idx="174">
                  <c:v>-84.1158050225851</c:v>
                </c:pt>
                <c:pt idx="175">
                  <c:v>-84.1286191653396</c:v>
                </c:pt>
                <c:pt idx="176">
                  <c:v>-84.1383486578021</c:v>
                </c:pt>
                <c:pt idx="177">
                  <c:v>-84.1449987796892</c:v>
                </c:pt>
                <c:pt idx="178">
                  <c:v>-84.1485733129184</c:v>
                </c:pt>
                <c:pt idx="179">
                  <c:v>-84.1490745447998</c:v>
                </c:pt>
                <c:pt idx="180">
                  <c:v>-84.1465032710672</c:v>
                </c:pt>
                <c:pt idx="181">
                  <c:v>-84.1408587987567</c:v>
                </c:pt>
                <c:pt idx="182">
                  <c:v>-84.132138948946</c:v>
                </c:pt>
                <c:pt idx="183">
                  <c:v>-84.1203400593697</c:v>
                </c:pt>
                <c:pt idx="184">
                  <c:v>-84.1054569869277</c:v>
                </c:pt>
                <c:pt idx="185">
                  <c:v>-84.0874831101085</c:v>
                </c:pt>
                <c:pt idx="186">
                  <c:v>-84.0664103313494</c:v>
                </c:pt>
                <c:pt idx="187">
                  <c:v>-84.0422290793631</c:v>
                </c:pt>
                <c:pt idx="188">
                  <c:v>-84.0149283114583</c:v>
                </c:pt>
                <c:pt idx="189">
                  <c:v>-83.9844955158886</c:v>
                </c:pt>
                <c:pt idx="190">
                  <c:v>-83.9509167142665</c:v>
                </c:pt>
                <c:pt idx="191">
                  <c:v>-83.9141764640824</c:v>
                </c:pt>
                <c:pt idx="192">
                  <c:v>-83.8742578613736</c:v>
                </c:pt>
                <c:pt idx="193">
                  <c:v>-83.831142543589</c:v>
                </c:pt>
                <c:pt idx="194">
                  <c:v>-83.7848106927039</c:v>
                </c:pt>
                <c:pt idx="195">
                  <c:v>-83.7352410386399</c:v>
                </c:pt>
                <c:pt idx="196">
                  <c:v>-83.6824108630503</c:v>
                </c:pt>
                <c:pt idx="197">
                  <c:v>-83.6262960035374</c:v>
                </c:pt>
                <c:pt idx="198">
                  <c:v>-83.5668708583706</c:v>
                </c:pt>
                <c:pt idx="199">
                  <c:v>-83.5041083917823</c:v>
                </c:pt>
                <c:pt idx="200">
                  <c:v>-83.4379801399208</c:v>
                </c:pt>
                <c:pt idx="201">
                  <c:v>-83.3684562175487</c:v>
                </c:pt>
                <c:pt idx="202">
                  <c:v>-83.2955053255767</c:v>
                </c:pt>
                <c:pt idx="203">
                  <c:v>-83.2190947595345</c:v>
                </c:pt>
                <c:pt idx="204">
                  <c:v>-83.1391904190819</c:v>
                </c:pt>
                <c:pt idx="205">
                  <c:v>-83.0557568186726</c:v>
                </c:pt>
                <c:pt idx="206">
                  <c:v>-82.9687570994919</c:v>
                </c:pt>
                <c:pt idx="207">
                  <c:v>-82.8781530427929</c:v>
                </c:pt>
                <c:pt idx="208">
                  <c:v>-82.7839050847664</c:v>
                </c:pt>
                <c:pt idx="209">
                  <c:v>-82.6859723330891</c:v>
                </c:pt>
                <c:pt idx="210">
                  <c:v>-82.5843125852999</c:v>
                </c:pt>
                <c:pt idx="211">
                  <c:v>-82.4788823491647</c:v>
                </c:pt>
                <c:pt idx="212">
                  <c:v>-82.3696368652005</c:v>
                </c:pt>
                <c:pt idx="213">
                  <c:v>-82.2565301315362</c:v>
                </c:pt>
                <c:pt idx="214">
                  <c:v>-82.1395149313007</c:v>
                </c:pt>
                <c:pt idx="215">
                  <c:v>-82.0185428627359</c:v>
                </c:pt>
                <c:pt idx="216">
                  <c:v>-81.893564372245</c:v>
                </c:pt>
                <c:pt idx="217">
                  <c:v>-81.7645287905971</c:v>
                </c:pt>
                <c:pt idx="218">
                  <c:v>-81.6313843725165</c:v>
                </c:pt>
                <c:pt idx="219">
                  <c:v>-81.4940783399028</c:v>
                </c:pt>
                <c:pt idx="220">
                  <c:v>-81.3525569289323</c:v>
                </c:pt>
                <c:pt idx="221">
                  <c:v>-81.2067654413078</c:v>
                </c:pt>
                <c:pt idx="222">
                  <c:v>-81.0566482999322</c:v>
                </c:pt>
                <c:pt idx="223">
                  <c:v>-80.9021491092935</c:v>
                </c:pt>
                <c:pt idx="224">
                  <c:v>-80.7432107208625</c:v>
                </c:pt>
                <c:pt idx="225">
                  <c:v>-80.5797753038104</c:v>
                </c:pt>
                <c:pt idx="226">
                  <c:v>-80.4117844213693</c:v>
                </c:pt>
                <c:pt idx="227">
                  <c:v>-80.2391791131682</c:v>
                </c:pt>
                <c:pt idx="228">
                  <c:v>-80.0618999838808</c:v>
                </c:pt>
                <c:pt idx="229">
                  <c:v>-79.8798872985428</c:v>
                </c:pt>
                <c:pt idx="230">
                  <c:v>-79.6930810848894</c:v>
                </c:pt>
                <c:pt idx="231">
                  <c:v>-79.5014212430846</c:v>
                </c:pt>
                <c:pt idx="232">
                  <c:v>-79.3048476632103</c:v>
                </c:pt>
                <c:pt idx="233">
                  <c:v>-79.103300350891</c:v>
                </c:pt>
                <c:pt idx="234">
                  <c:v>-78.8967195614346</c:v>
                </c:pt>
                <c:pt idx="235">
                  <c:v>-78.6850459428653</c:v>
                </c:pt>
                <c:pt idx="236">
                  <c:v>-78.4682206882269</c:v>
                </c:pt>
                <c:pt idx="237">
                  <c:v>-78.2461856975289</c:v>
                </c:pt>
                <c:pt idx="238">
                  <c:v>-78.0188837497008</c:v>
                </c:pt>
                <c:pt idx="239">
                  <c:v>-77.7862586849082</c:v>
                </c:pt>
                <c:pt idx="240">
                  <c:v>-77.5482555975719</c:v>
                </c:pt>
                <c:pt idx="241">
                  <c:v>-77.3048210404106</c:v>
                </c:pt>
                <c:pt idx="242">
                  <c:v>-77.0559032398069</c:v>
                </c:pt>
                <c:pt idx="243">
                  <c:v>-76.8014523227667</c:v>
                </c:pt>
                <c:pt idx="244">
                  <c:v>-76.541420555711</c:v>
                </c:pt>
                <c:pt idx="245">
                  <c:v>-76.2757625952959</c:v>
                </c:pt>
                <c:pt idx="246">
                  <c:v>-76.0044357514186</c:v>
                </c:pt>
                <c:pt idx="247">
                  <c:v>-75.7274002625071</c:v>
                </c:pt>
                <c:pt idx="248">
                  <c:v>-75.4446195831392</c:v>
                </c:pt>
                <c:pt idx="249">
                  <c:v>-75.1560606839654</c:v>
                </c:pt>
                <c:pt idx="250">
                  <c:v>-74.8616943638397</c:v>
                </c:pt>
                <c:pt idx="251">
                  <c:v>-74.5614955739759</c:v>
                </c:pt>
                <c:pt idx="252">
                  <c:v>-74.2554437538615</c:v>
                </c:pt>
                <c:pt idx="253">
                  <c:v>-73.9435231785569</c:v>
                </c:pt>
                <c:pt idx="254">
                  <c:v>-73.6257233169021</c:v>
                </c:pt>
                <c:pt idx="255">
                  <c:v>-73.302039200038</c:v>
                </c:pt>
                <c:pt idx="256">
                  <c:v>-72.9724717995196</c:v>
                </c:pt>
                <c:pt idx="257">
                  <c:v>-72.6370284141689</c:v>
                </c:pt>
                <c:pt idx="258">
                  <c:v>-72.295723064671</c:v>
                </c:pt>
                <c:pt idx="259">
                  <c:v>-71.9485768947713</c:v>
                </c:pt>
                <c:pt idx="260">
                  <c:v>-71.5956185777701</c:v>
                </c:pt>
                <c:pt idx="261">
                  <c:v>-71.2368847268558</c:v>
                </c:pt>
                <c:pt idx="262">
                  <c:v>-70.87242030765</c:v>
                </c:pt>
                <c:pt idx="263">
                  <c:v>-70.5022790511641</c:v>
                </c:pt>
                <c:pt idx="264">
                  <c:v>-70.1265238652063</c:v>
                </c:pt>
                <c:pt idx="265">
                  <c:v>-69.7452272420968</c:v>
                </c:pt>
                <c:pt idx="266">
                  <c:v>-69.3584716603915</c:v>
                </c:pt>
                <c:pt idx="267">
                  <c:v>-68.9663499781426</c:v>
                </c:pt>
                <c:pt idx="268">
                  <c:v>-68.5689658150791</c:v>
                </c:pt>
                <c:pt idx="269">
                  <c:v>-68.1664339209355</c:v>
                </c:pt>
                <c:pt idx="270">
                  <c:v>-67.7588805270344</c:v>
                </c:pt>
                <c:pt idx="271">
                  <c:v>-67.3464436781062</c:v>
                </c:pt>
                <c:pt idx="272">
                  <c:v>-66.9292735412413</c:v>
                </c:pt>
                <c:pt idx="273">
                  <c:v>-66.5075326887895</c:v>
                </c:pt>
                <c:pt idx="274">
                  <c:v>-66.0813963519854</c:v>
                </c:pt>
                <c:pt idx="275">
                  <c:v>-65.6510526420501</c:v>
                </c:pt>
                <c:pt idx="276">
                  <c:v>-65.2167027355518</c:v>
                </c:pt>
                <c:pt idx="277">
                  <c:v>-64.7785610208408</c:v>
                </c:pt>
                <c:pt idx="278">
                  <c:v>-64.3368552024837</c:v>
                </c:pt>
                <c:pt idx="279">
                  <c:v>-63.8918263607363</c:v>
                </c:pt>
                <c:pt idx="280">
                  <c:v>-63.4437289632761</c:v>
                </c:pt>
                <c:pt idx="281">
                  <c:v>-62.992830826627</c:v>
                </c:pt>
                <c:pt idx="282">
                  <c:v>-62.5394130249646</c:v>
                </c:pt>
                <c:pt idx="283">
                  <c:v>-62.083769744295</c:v>
                </c:pt>
                <c:pt idx="284">
                  <c:v>-61.6262080803401</c:v>
                </c:pt>
                <c:pt idx="285">
                  <c:v>-61.1670477788414</c:v>
                </c:pt>
                <c:pt idx="286">
                  <c:v>-60.7066209174161</c:v>
                </c:pt>
                <c:pt idx="287">
                  <c:v>-60.2452715285445</c:v>
                </c:pt>
                <c:pt idx="288">
                  <c:v>-59.7833551637483</c:v>
                </c:pt>
                <c:pt idx="289">
                  <c:v>-59.3212383995166</c:v>
                </c:pt>
                <c:pt idx="290">
                  <c:v>-58.8592982860496</c:v>
                </c:pt>
                <c:pt idx="291">
                  <c:v>-58.3979217404144</c:v>
                </c:pt>
                <c:pt idx="292">
                  <c:v>-57.9375048862309</c:v>
                </c:pt>
                <c:pt idx="293">
                  <c:v>-57.478452342516</c:v>
                </c:pt>
                <c:pt idx="294">
                  <c:v>-57.021176464819</c:v>
                </c:pt>
                <c:pt idx="295">
                  <c:v>-56.5660965422555</c:v>
                </c:pt>
                <c:pt idx="296">
                  <c:v>-56.1136379544837</c:v>
                </c:pt>
                <c:pt idx="297">
                  <c:v>-55.6642312930775</c:v>
                </c:pt>
                <c:pt idx="298">
                  <c:v>-55.2183114520965</c:v>
                </c:pt>
                <c:pt idx="299">
                  <c:v>-54.7763166929584</c:v>
                </c:pt>
                <c:pt idx="300">
                  <c:v>-54.3386876889557</c:v>
                </c:pt>
                <c:pt idx="301">
                  <c:v>-53.9058665549319</c:v>
                </c:pt>
                <c:pt idx="302">
                  <c:v>-53.4782958677418</c:v>
                </c:pt>
                <c:pt idx="303">
                  <c:v>-53.056417683152</c:v>
                </c:pt>
                <c:pt idx="304">
                  <c:v>-52.6406725548057</c:v>
                </c:pt>
                <c:pt idx="305">
                  <c:v>-52.2314985607667</c:v>
                </c:pt>
                <c:pt idx="306">
                  <c:v>-51.8293303429844</c:v>
                </c:pt>
                <c:pt idx="307">
                  <c:v>-51.4345981647804</c:v>
                </c:pt>
                <c:pt idx="308">
                  <c:v>-51.0477269911591</c:v>
                </c:pt>
                <c:pt idx="309">
                  <c:v>-50.6691355963812</c:v>
                </c:pt>
                <c:pt idx="310">
                  <c:v>-50.2992357028485</c:v>
                </c:pt>
                <c:pt idx="311">
                  <c:v>-49.9384311548882</c:v>
                </c:pt>
                <c:pt idx="312">
                  <c:v>-49.5871171305593</c:v>
                </c:pt>
                <c:pt idx="313">
                  <c:v>-49.2456793940941</c:v>
                </c:pt>
                <c:pt idx="314">
                  <c:v>-48.9144935910723</c:v>
                </c:pt>
                <c:pt idx="315">
                  <c:v>-48.5939245879085</c:v>
                </c:pt>
                <c:pt idx="316">
                  <c:v>-48.284325856693</c:v>
                </c:pt>
                <c:pt idx="317">
                  <c:v>-47.986038905937</c:v>
                </c:pt>
                <c:pt idx="318">
                  <c:v>-47.6993927572582</c:v>
                </c:pt>
                <c:pt idx="319">
                  <c:v>-47.4247034675858</c:v>
                </c:pt>
                <c:pt idx="320">
                  <c:v>-47.1622736960183</c:v>
                </c:pt>
                <c:pt idx="321">
                  <c:v>-46.9123923140662</c:v>
                </c:pt>
                <c:pt idx="322">
                  <c:v>-46.6753340576599</c:v>
                </c:pt>
                <c:pt idx="323">
                  <c:v>-46.451359218966</c:v>
                </c:pt>
                <c:pt idx="324">
                  <c:v>-46.2407133758146</c:v>
                </c:pt>
                <c:pt idx="325">
                  <c:v>-46.043627156302</c:v>
                </c:pt>
                <c:pt idx="326">
                  <c:v>-45.8603160359698</c:v>
                </c:pt>
                <c:pt idx="327">
                  <c:v>-45.6909801648537</c:v>
                </c:pt>
                <c:pt idx="328">
                  <c:v>-45.5358042216198</c:v>
                </c:pt>
                <c:pt idx="329">
                  <c:v>-45.3949572919932</c:v>
                </c:pt>
                <c:pt idx="330">
                  <c:v>-45.2685927687184</c:v>
                </c:pt>
                <c:pt idx="331">
                  <c:v>-45.1568482703629</c:v>
                </c:pt>
                <c:pt idx="332">
                  <c:v>-45.0598455763935</c:v>
                </c:pt>
                <c:pt idx="333">
                  <c:v>-44.9776905761218</c:v>
                </c:pt>
                <c:pt idx="334">
                  <c:v>-44.9104732292959</c:v>
                </c:pt>
                <c:pt idx="335">
                  <c:v>-44.8582675363528</c:v>
                </c:pt>
                <c:pt idx="336">
                  <c:v>-44.821131516596</c:v>
                </c:pt>
                <c:pt idx="337">
                  <c:v>-44.7991071928376</c:v>
                </c:pt>
                <c:pt idx="338">
                  <c:v>-44.7922205813485</c:v>
                </c:pt>
                <c:pt idx="339">
                  <c:v>-44.8004816862696</c:v>
                </c:pt>
                <c:pt idx="340">
                  <c:v>-44.8238844979619</c:v>
                </c:pt>
                <c:pt idx="341">
                  <c:v>-44.8624069951073</c:v>
                </c:pt>
                <c:pt idx="342">
                  <c:v>-44.9160111507055</c:v>
                </c:pt>
                <c:pt idx="343">
                  <c:v>-44.9846429424402</c:v>
                </c:pt>
                <c:pt idx="344">
                  <c:v>-45.068232368223</c:v>
                </c:pt>
                <c:pt idx="345">
                  <c:v>-45.1666934680275</c:v>
                </c:pt>
                <c:pt idx="346">
                  <c:v>-45.2799243534391</c:v>
                </c:pt>
                <c:pt idx="347">
                  <c:v>-45.407807246611</c:v>
                </c:pt>
                <c:pt idx="348">
                  <c:v>-45.5502085305938</c:v>
                </c:pt>
                <c:pt idx="349">
                  <c:v>-45.7069788132182</c:v>
                </c:pt>
                <c:pt idx="350">
                  <c:v>-45.8779530069229</c:v>
                </c:pt>
                <c:pt idx="351">
                  <c:v>-46.0629504270702</c:v>
                </c:pt>
                <c:pt idx="352">
                  <c:v>-46.2617749114324</c:v>
                </c:pt>
                <c:pt idx="353">
                  <c:v>-46.4742149635932</c:v>
                </c:pt>
                <c:pt idx="354">
                  <c:v>-46.7000439230705</c:v>
                </c:pt>
                <c:pt idx="355">
                  <c:v>-46.9390201649343</c:v>
                </c:pt>
                <c:pt idx="356">
                  <c:v>-47.1908873316514</c:v>
                </c:pt>
                <c:pt idx="357">
                  <c:v>-47.4553745997693</c:v>
                </c:pt>
                <c:pt idx="358">
                  <c:v>-47.7321969838964</c:v>
                </c:pt>
                <c:pt idx="359">
                  <c:v>-48.0210556802223</c:v>
                </c:pt>
                <c:pt idx="360">
                  <c:v>-48.3216384515603</c:v>
                </c:pt>
                <c:pt idx="361">
                  <c:v>-48.633620055588</c:v>
                </c:pt>
                <c:pt idx="362">
                  <c:v>-48.9566627176015</c:v>
                </c:pt>
                <c:pt idx="363">
                  <c:v>-49.2904166487078</c:v>
                </c:pt>
                <c:pt idx="364">
                  <c:v>-49.6345206099414</c:v>
                </c:pt>
                <c:pt idx="365">
                  <c:v>-49.9886025223272</c:v>
                </c:pt>
                <c:pt idx="366">
                  <c:v>-50.3522801224209</c:v>
                </c:pt>
                <c:pt idx="367">
                  <c:v>-50.7251616623438</c:v>
                </c:pt>
                <c:pt idx="368">
                  <c:v>-51.1068466528107</c:v>
                </c:pt>
                <c:pt idx="369">
                  <c:v>-51.4969266471281</c:v>
                </c:pt>
                <c:pt idx="370">
                  <c:v>-51.8949860636087</c:v>
                </c:pt>
                <c:pt idx="371">
                  <c:v>-52.3006030433608</c:v>
                </c:pt>
                <c:pt idx="372">
                  <c:v>-52.713350339915</c:v>
                </c:pt>
                <c:pt idx="373">
                  <c:v>-53.1327962367108</c:v>
                </c:pt>
                <c:pt idx="374">
                  <c:v>-53.5585054880479</c:v>
                </c:pt>
                <c:pt idx="375">
                  <c:v>-53.9900402787497</c:v>
                </c:pt>
                <c:pt idx="376">
                  <c:v>-54.4269611974767</c:v>
                </c:pt>
                <c:pt idx="377">
                  <c:v>-54.8688282183773</c:v>
                </c:pt>
                <c:pt idx="378">
                  <c:v>-55.3152016855775</c:v>
                </c:pt>
                <c:pt idx="379">
                  <c:v>-55.7656432949072</c:v>
                </c:pt>
                <c:pt idx="380">
                  <c:v>-56.2197170671912</c:v>
                </c:pt>
                <c:pt idx="381">
                  <c:v>-56.6769903074929</c:v>
                </c:pt>
                <c:pt idx="382">
                  <c:v>-57.1370345447579</c:v>
                </c:pt>
                <c:pt idx="383">
                  <c:v>-57.5994264465036</c:v>
                </c:pt>
                <c:pt idx="384">
                  <c:v>-58.0637487034053</c:v>
                </c:pt>
                <c:pt idx="385">
                  <c:v>-58.5295908789387</c:v>
                </c:pt>
                <c:pt idx="386">
                  <c:v>-58.9965502195757</c:v>
                </c:pt>
                <c:pt idx="387">
                  <c:v>-59.464232421429</c:v>
                </c:pt>
                <c:pt idx="388">
                  <c:v>-59.9322523496793</c:v>
                </c:pt>
                <c:pt idx="389">
                  <c:v>-60.4002347075905</c:v>
                </c:pt>
                <c:pt idx="390">
                  <c:v>-60.8678146524073</c:v>
                </c:pt>
                <c:pt idx="391">
                  <c:v>-61.3346383559585</c:v>
                </c:pt>
                <c:pt idx="392">
                  <c:v>-61.8003635082916</c:v>
                </c:pt>
                <c:pt idx="393">
                  <c:v>-62.2646597632074</c:v>
                </c:pt>
                <c:pt idx="394">
                  <c:v>-62.7272091250616</c:v>
                </c:pt>
                <c:pt idx="395">
                  <c:v>-63.1877062767165</c:v>
                </c:pt>
                <c:pt idx="396">
                  <c:v>-63.6458588489913</c:v>
                </c:pt>
                <c:pt idx="397">
                  <c:v>-64.1013876324314</c:v>
                </c:pt>
                <c:pt idx="398">
                  <c:v>-64.5540267326193</c:v>
                </c:pt>
                <c:pt idx="399">
                  <c:v>-65.003523670651</c:v>
                </c:pt>
                <c:pt idx="400">
                  <c:v>-65.4496394307448</c:v>
                </c:pt>
                <c:pt idx="401">
                  <c:v>-65.8921484572511</c:v>
                </c:pt>
                <c:pt idx="402">
                  <c:v>-66.3308386036009</c:v>
                </c:pt>
                <c:pt idx="403">
                  <c:v>-66.7655110359492</c:v>
                </c:pt>
                <c:pt idx="404">
                  <c:v>-67.195980094452</c:v>
                </c:pt>
                <c:pt idx="405">
                  <c:v>-67.6220731152368</c:v>
                </c:pt>
                <c:pt idx="406">
                  <c:v>-68.0436302162448</c:v>
                </c:pt>
                <c:pt idx="407">
                  <c:v>-68.4605040501568</c:v>
                </c:pt>
                <c:pt idx="408">
                  <c:v>-68.8725595276531</c:v>
                </c:pt>
                <c:pt idx="409">
                  <c:v>-69.2796735142376</c:v>
                </c:pt>
                <c:pt idx="410">
                  <c:v>-69.6817345038131</c:v>
                </c:pt>
                <c:pt idx="411">
                  <c:v>-70.0786422721338</c:v>
                </c:pt>
                <c:pt idx="412">
                  <c:v>-70.4703075131595</c:v>
                </c:pt>
                <c:pt idx="413">
                  <c:v>-70.8566514612304</c:v>
                </c:pt>
                <c:pt idx="414">
                  <c:v>-71.2376055018464</c:v>
                </c:pt>
                <c:pt idx="415">
                  <c:v>-71.6131107736999</c:v>
                </c:pt>
                <c:pt idx="416">
                  <c:v>-71.9831177644455</c:v>
                </c:pt>
                <c:pt idx="417">
                  <c:v>-72.347585902541</c:v>
                </c:pt>
                <c:pt idx="418">
                  <c:v>-72.7064831473155</c:v>
                </c:pt>
                <c:pt idx="419">
                  <c:v>-73.0597855792608</c:v>
                </c:pt>
                <c:pt idx="420">
                  <c:v>-73.407476992363</c:v>
                </c:pt>
                <c:pt idx="421">
                  <c:v>-73.7495484901296</c:v>
                </c:pt>
                <c:pt idx="422">
                  <c:v>-74.0859980867944</c:v>
                </c:pt>
                <c:pt idx="423">
                  <c:v>-74.4168303150249</c:v>
                </c:pt>
                <c:pt idx="424">
                  <c:v>-74.7420558413</c:v>
                </c:pt>
                <c:pt idx="425">
                  <c:v>-75.0616910899725</c:v>
                </c:pt>
                <c:pt idx="426">
                  <c:v>-75.3757578768931</c:v>
                </c:pt>
                <c:pt idx="427">
                  <c:v>-75.6842830533339</c:v>
                </c:pt>
                <c:pt idx="428">
                  <c:v>-75.9872981608247</c:v>
                </c:pt>
                <c:pt idx="429">
                  <c:v>-76.2848390973984</c:v>
                </c:pt>
                <c:pt idx="430">
                  <c:v>-76.5769457956303</c:v>
                </c:pt>
                <c:pt idx="431">
                  <c:v>-76.8636619127576</c:v>
                </c:pt>
                <c:pt idx="432">
                  <c:v>-77.1450345330724</c:v>
                </c:pt>
                <c:pt idx="433">
                  <c:v>-77.4211138826996</c:v>
                </c:pt>
                <c:pt idx="434">
                  <c:v>-77.6919530567937</c:v>
                </c:pt>
                <c:pt idx="435">
                  <c:v>-77.9576077591228</c:v>
                </c:pt>
                <c:pt idx="436">
                  <c:v>-78.2181360539473</c:v>
                </c:pt>
                <c:pt idx="437">
                  <c:v>-78.4735981300503</c:v>
                </c:pt>
                <c:pt idx="438">
                  <c:v>-78.7240560767255</c:v>
                </c:pt>
                <c:pt idx="439">
                  <c:v>-78.969573671496</c:v>
                </c:pt>
                <c:pt idx="440">
                  <c:v>-79.2102161792952</c:v>
                </c:pt>
                <c:pt idx="441">
                  <c:v>-79.4460501628219</c:v>
                </c:pt>
                <c:pt idx="442">
                  <c:v>-79.6771433037474</c:v>
                </c:pt>
                <c:pt idx="443">
                  <c:v>-79.9035642344443</c:v>
                </c:pt>
                <c:pt idx="444">
                  <c:v>-80.1253823798826</c:v>
                </c:pt>
                <c:pt idx="445">
                  <c:v>-80.3426678093342</c:v>
                </c:pt>
                <c:pt idx="446">
                  <c:v>-80.555491097515</c:v>
                </c:pt>
                <c:pt idx="447">
                  <c:v>-80.7639231947915</c:v>
                </c:pt>
                <c:pt idx="448">
                  <c:v>-80.9680353060748</c:v>
                </c:pt>
                <c:pt idx="449">
                  <c:v>-81.1678987780274</c:v>
                </c:pt>
                <c:pt idx="450">
                  <c:v>-81.363584994208</c:v>
                </c:pt>
                <c:pt idx="451">
                  <c:v>-81.5551652777859</c:v>
                </c:pt>
                <c:pt idx="452">
                  <c:v>-81.7427108014606</c:v>
                </c:pt>
                <c:pt idx="453">
                  <c:v>-81.9262925042294</c:v>
                </c:pt>
                <c:pt idx="454">
                  <c:v>-82.1059810146562</c:v>
                </c:pt>
                <c:pt idx="455">
                  <c:v>-82.2818465802991</c:v>
                </c:pt>
                <c:pt idx="456">
                  <c:v>-82.4539590029689</c:v>
                </c:pt>
                <c:pt idx="457">
                  <c:v>-82.6223875794967</c:v>
                </c:pt>
                <c:pt idx="458">
                  <c:v>-82.7872010477049</c:v>
                </c:pt>
                <c:pt idx="459">
                  <c:v>-82.9484675372791</c:v>
                </c:pt>
                <c:pt idx="460">
                  <c:v>-83.1062545252588</c:v>
                </c:pt>
                <c:pt idx="461">
                  <c:v>-83.2606287958682</c:v>
                </c:pt>
                <c:pt idx="462">
                  <c:v>-83.4116564044259</c:v>
                </c:pt>
                <c:pt idx="463">
                  <c:v>-83.559402645079</c:v>
                </c:pt>
                <c:pt idx="464">
                  <c:v>-83.7039320221225</c:v>
                </c:pt>
                <c:pt idx="465">
                  <c:v>-83.8453082246722</c:v>
                </c:pt>
                <c:pt idx="466">
                  <c:v>-83.9835941044744</c:v>
                </c:pt>
                <c:pt idx="467">
                  <c:v>-84.1188516566416</c:v>
                </c:pt>
                <c:pt idx="468">
                  <c:v>-84.2511420031191</c:v>
                </c:pt>
                <c:pt idx="469">
                  <c:v>-84.380525378693</c:v>
                </c:pt>
                <c:pt idx="470">
                  <c:v>-84.5070611193631</c:v>
                </c:pt>
                <c:pt idx="471">
                  <c:v>-84.6308076529116</c:v>
                </c:pt>
                <c:pt idx="472">
                  <c:v>-84.7518224915093</c:v>
                </c:pt>
                <c:pt idx="473">
                  <c:v>-84.8701622262098</c:v>
                </c:pt>
                <c:pt idx="474">
                  <c:v>-84.9858825231881</c:v>
                </c:pt>
                <c:pt idx="475">
                  <c:v>-85.0990381215926</c:v>
                </c:pt>
                <c:pt idx="476">
                  <c:v>-85.209682832883</c:v>
                </c:pt>
                <c:pt idx="477">
                  <c:v>-85.3178695415367</c:v>
                </c:pt>
                <c:pt idx="478">
                  <c:v>-85.4236502070127</c:v>
                </c:pt>
                <c:pt idx="479">
                  <c:v>-85.527075866869</c:v>
                </c:pt>
                <c:pt idx="480">
                  <c:v>-85.6281966409345</c:v>
                </c:pt>
                <c:pt idx="481">
                  <c:v>-85.7270617364452</c:v>
                </c:pt>
                <c:pt idx="482">
                  <c:v>-85.8237194540576</c:v>
                </c:pt>
                <c:pt idx="483">
                  <c:v>-85.9182171946596</c:v>
                </c:pt>
                <c:pt idx="484">
                  <c:v>-86.0106014669042</c:v>
                </c:pt>
                <c:pt idx="485">
                  <c:v>-86.1009178953945</c:v>
                </c:pt>
                <c:pt idx="486">
                  <c:v>-86.1892112294556</c:v>
                </c:pt>
                <c:pt idx="487">
                  <c:v>-86.2755253524324</c:v>
                </c:pt>
                <c:pt idx="488">
                  <c:v>-86.3599032914552</c:v>
                </c:pt>
                <c:pt idx="489">
                  <c:v>-86.4423872276218</c:v>
                </c:pt>
                <c:pt idx="490">
                  <c:v>-86.5230185065451</c:v>
                </c:pt>
                <c:pt idx="491">
                  <c:v>-86.6018376492222</c:v>
                </c:pt>
                <c:pt idx="492">
                  <c:v>-86.6788843631806</c:v>
                </c:pt>
                <c:pt idx="493">
                  <c:v>-86.7541975538636</c:v>
                </c:pt>
                <c:pt idx="494">
                  <c:v>-86.8278153362178</c:v>
                </c:pt>
                <c:pt idx="495">
                  <c:v>-86.8997750464486</c:v>
                </c:pt>
                <c:pt idx="496">
                  <c:v>-86.9701132539129</c:v>
                </c:pt>
                <c:pt idx="497">
                  <c:v>-87.03886577312</c:v>
                </c:pt>
                <c:pt idx="498">
                  <c:v>-87.1060676758141</c:v>
                </c:pt>
                <c:pt idx="499">
                  <c:v>-87.1717533031133</c:v>
                </c:pt>
                <c:pt idx="500">
                  <c:v>-87.2359562776841</c:v>
                </c:pt>
                <c:pt idx="501">
                  <c:v>-87.2987095159283</c:v>
                </c:pt>
                <c:pt idx="502">
                  <c:v>-87.3600452401659</c:v>
                </c:pt>
                <c:pt idx="503">
                  <c:v>-87.4199949907942</c:v>
                </c:pt>
                <c:pt idx="504">
                  <c:v>-87.4785896384092</c:v>
                </c:pt>
                <c:pt idx="505">
                  <c:v>-87.5358593958736</c:v>
                </c:pt>
                <c:pt idx="506">
                  <c:v>-87.5918338303179</c:v>
                </c:pt>
                <c:pt idx="507">
                  <c:v>-87.646541875064</c:v>
                </c:pt>
                <c:pt idx="508">
                  <c:v>-87.7000118414595</c:v>
                </c:pt>
                <c:pt idx="509">
                  <c:v>-87.7522714306129</c:v>
                </c:pt>
                <c:pt idx="510">
                  <c:v>-87.8033477450203</c:v>
                </c:pt>
                <c:pt idx="511">
                  <c:v>-87.853267300078</c:v>
                </c:pt>
                <c:pt idx="512">
                  <c:v>-87.9020560354704</c:v>
                </c:pt>
                <c:pt idx="513">
                  <c:v>-87.9497393264305</c:v>
                </c:pt>
                <c:pt idx="514">
                  <c:v>-87.9963419948643</c:v>
                </c:pt>
                <c:pt idx="515">
                  <c:v>-88.0418883203368</c:v>
                </c:pt>
                <c:pt idx="516">
                  <c:v>-88.0864020509134</c:v>
                </c:pt>
                <c:pt idx="517">
                  <c:v>-88.1299064138543</c:v>
                </c:pt>
                <c:pt idx="518">
                  <c:v>-88.1724241261575</c:v>
                </c:pt>
                <c:pt idx="519">
                  <c:v>-88.2139774049496</c:v>
                </c:pt>
                <c:pt idx="520">
                  <c:v>-88.2545879777204</c:v>
                </c:pt>
                <c:pt idx="521">
                  <c:v>-88.2942770923999</c:v>
                </c:pt>
                <c:pt idx="522">
                  <c:v>-88.3330655272771</c:v>
                </c:pt>
                <c:pt idx="523">
                  <c:v>-88.3709736007594</c:v>
                </c:pt>
                <c:pt idx="524">
                  <c:v>-88.4080211809701</c:v>
                </c:pt>
                <c:pt idx="525">
                  <c:v>-88.444227695187</c:v>
                </c:pt>
                <c:pt idx="526">
                  <c:v>-88.4796121391186</c:v>
                </c:pt>
                <c:pt idx="527">
                  <c:v>-88.5141930860196</c:v>
                </c:pt>
                <c:pt idx="528">
                  <c:v>-88.5479886956464</c:v>
                </c:pt>
                <c:pt idx="529">
                  <c:v>-88.581016723052</c:v>
                </c:pt>
                <c:pt idx="530">
                  <c:v>-88.6132945272221</c:v>
                </c:pt>
                <c:pt idx="531">
                  <c:v>-88.6448390795528</c:v>
                </c:pt>
                <c:pt idx="532">
                  <c:v>-88.6756669721705</c:v>
                </c:pt>
                <c:pt idx="533">
                  <c:v>-88.7057944260969</c:v>
                </c:pt>
                <c:pt idx="534">
                  <c:v>-88.7352372992577</c:v>
                </c:pt>
                <c:pt idx="535">
                  <c:v>-88.7640110943397</c:v>
                </c:pt>
                <c:pt idx="536">
                  <c:v>-88.7921309664952</c:v>
                </c:pt>
                <c:pt idx="537">
                  <c:v>-88.8196117308968</c:v>
                </c:pt>
                <c:pt idx="538">
                  <c:v>-88.8464678701433</c:v>
                </c:pt>
                <c:pt idx="539">
                  <c:v>-88.8727135415204</c:v>
                </c:pt>
                <c:pt idx="540">
                  <c:v>-88.8983625841153</c:v>
                </c:pt>
                <c:pt idx="541">
                  <c:v>-88.9234285257896</c:v>
                </c:pt>
              </c:numCache>
            </c:numRef>
          </c:yVal>
          <c:smooth val="1"/>
        </c:ser>
        <c:dLbls>
          <c:showLegendKey val="0"/>
          <c:showVal val="0"/>
          <c:showCatName val="0"/>
          <c:showSerName val="0"/>
          <c:showPercent val="0"/>
          <c:showBubbleSize val="0"/>
        </c:dLbls>
        <c:axId val="178862336"/>
        <c:axId val="178860800"/>
      </c:scatterChart>
      <c:valAx>
        <c:axId val="178856704"/>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58624"/>
        <c:crosses val="autoZero"/>
        <c:crossBetween val="midCat"/>
      </c:valAx>
      <c:valAx>
        <c:axId val="178858624"/>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56704"/>
        <c:crosses val="autoZero"/>
        <c:crossBetween val="midCat"/>
        <c:majorUnit val="20"/>
        <c:minorUnit val="10"/>
      </c:valAx>
      <c:valAx>
        <c:axId val="178862336"/>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60800"/>
        <c:crosses val="autoZero"/>
        <c:crossBetween val="midCat"/>
      </c:valAx>
      <c:valAx>
        <c:axId val="178860800"/>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62336"/>
        <c:crosses val="max"/>
        <c:crossBetween val="midCat"/>
        <c:majorUnit val="90"/>
        <c:minorUnit val="45"/>
      </c:valAx>
    </c:plotArea>
    <c:legend>
      <c:legendPos val="r"/>
      <c:layout>
        <c:manualLayout>
          <c:xMode val="edge"/>
          <c:yMode val="edge"/>
          <c:x val="0.798805582095125"/>
          <c:y val="0.14321997959862"/>
          <c:w val="0.134594492760573"/>
          <c:h val="0.106916098611994"/>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642237c-f052-44fa-acdb-ac797fb65b45}"/>
      </c:ext>
    </c:extLst>
  </c:chart>
  <c:txPr>
    <a:bodyPr/>
    <a:lstStyle/>
    <a:p>
      <a:pPr>
        <a:defRPr lang="pl-PL"/>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DCM Control Loop Transfer Function</a:t>
            </a:r>
            <a:endParaRPr lang="en-US" baseline="0"/>
          </a:p>
        </c:rich>
      </c:tx>
      <c:layout/>
      <c:overlay val="0"/>
    </c:title>
    <c:autoTitleDeleted val="0"/>
    <c:plotArea>
      <c:layout/>
      <c:scatterChart>
        <c:scatterStyle val="smooth"/>
        <c:varyColors val="0"/>
        <c:ser>
          <c:idx val="0"/>
          <c:order val="0"/>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Loop_Modeling!$BJ$19:$BJ$560</c:f>
              <c:numCache>
                <c:formatCode>0.000</c:formatCode>
                <c:ptCount val="542"/>
                <c:pt idx="0">
                  <c:v>67.9283513806076</c:v>
                </c:pt>
                <c:pt idx="1">
                  <c:v>67.7096313685224</c:v>
                </c:pt>
                <c:pt idx="2">
                  <c:v>67.4901175592479</c:v>
                </c:pt>
                <c:pt idx="3">
                  <c:v>67.2697801956376</c:v>
                </c:pt>
                <c:pt idx="4">
                  <c:v>67.0485887401381</c:v>
                </c:pt>
                <c:pt idx="5">
                  <c:v>66.8265118832938</c:v>
                </c:pt>
                <c:pt idx="6">
                  <c:v>66.6035175552777</c:v>
                </c:pt>
                <c:pt idx="7">
                  <c:v>66.3795729406557</c:v>
                </c:pt>
                <c:pt idx="8">
                  <c:v>66.1546444965939</c:v>
                </c:pt>
                <c:pt idx="9">
                  <c:v>65.9286979747171</c:v>
                </c:pt>
                <c:pt idx="10">
                  <c:v>65.7016984468212</c:v>
                </c:pt>
                <c:pt idx="11">
                  <c:v>65.4736103346346</c:v>
                </c:pt>
                <c:pt idx="12">
                  <c:v>65.2443974438201</c:v>
                </c:pt>
                <c:pt idx="13">
                  <c:v>65.0140230023895</c:v>
                </c:pt>
                <c:pt idx="14">
                  <c:v>64.7824497036976</c:v>
                </c:pt>
                <c:pt idx="15">
                  <c:v>64.549639754154</c:v>
                </c:pt>
                <c:pt idx="16">
                  <c:v>64.3155549257842</c:v>
                </c:pt>
                <c:pt idx="17">
                  <c:v>64.0801566137328</c:v>
                </c:pt>
                <c:pt idx="18">
                  <c:v>63.8434058987855</c:v>
                </c:pt>
                <c:pt idx="19">
                  <c:v>63.6052636149507</c:v>
                </c:pt>
                <c:pt idx="20">
                  <c:v>63.3656904221071</c:v>
                </c:pt>
                <c:pt idx="21">
                  <c:v>63.1246468836893</c:v>
                </c:pt>
                <c:pt idx="22">
                  <c:v>62.8820935493384</c:v>
                </c:pt>
                <c:pt idx="23">
                  <c:v>62.6379910424045</c:v>
                </c:pt>
                <c:pt idx="24">
                  <c:v>62.3923001521404</c:v>
                </c:pt>
                <c:pt idx="25">
                  <c:v>62.1449819303751</c:v>
                </c:pt>
                <c:pt idx="26">
                  <c:v>61.8959977924097</c:v>
                </c:pt>
                <c:pt idx="27">
                  <c:v>61.6453096218205</c:v>
                </c:pt>
                <c:pt idx="28">
                  <c:v>61.3928798788058</c:v>
                </c:pt>
                <c:pt idx="29">
                  <c:v>61.1386717116587</c:v>
                </c:pt>
                <c:pt idx="30">
                  <c:v>60.8826490708953</c:v>
                </c:pt>
                <c:pt idx="31">
                  <c:v>60.6247768255177</c:v>
                </c:pt>
                <c:pt idx="32">
                  <c:v>60.3650208808431</c:v>
                </c:pt>
                <c:pt idx="33">
                  <c:v>60.1033482972838</c:v>
                </c:pt>
                <c:pt idx="34">
                  <c:v>59.8397274094246</c:v>
                </c:pt>
                <c:pt idx="35">
                  <c:v>59.5741279447049</c:v>
                </c:pt>
                <c:pt idx="36">
                  <c:v>59.3065211409843</c:v>
                </c:pt>
                <c:pt idx="37">
                  <c:v>59.0368798622481</c:v>
                </c:pt>
                <c:pt idx="38">
                  <c:v>58.7651787116915</c:v>
                </c:pt>
                <c:pt idx="39">
                  <c:v>58.4913941414142</c:v>
                </c:pt>
                <c:pt idx="40">
                  <c:v>58.2155045579594</c:v>
                </c:pt>
                <c:pt idx="41">
                  <c:v>57.937490422939</c:v>
                </c:pt>
                <c:pt idx="42">
                  <c:v>57.65733434801</c:v>
                </c:pt>
                <c:pt idx="43">
                  <c:v>57.3750211834942</c:v>
                </c:pt>
                <c:pt idx="44">
                  <c:v>57.0905380999696</c:v>
                </c:pt>
                <c:pt idx="45">
                  <c:v>56.8038746622186</c:v>
                </c:pt>
                <c:pt idx="46">
                  <c:v>56.5150228949653</c:v>
                </c:pt>
                <c:pt idx="47">
                  <c:v>56.2239773399035</c:v>
                </c:pt>
                <c:pt idx="48">
                  <c:v>55.9307351035929</c:v>
                </c:pt>
                <c:pt idx="49">
                  <c:v>55.6352958958734</c:v>
                </c:pt>
                <c:pt idx="50">
                  <c:v>55.3376620585374</c:v>
                </c:pt>
                <c:pt idx="51">
                  <c:v>55.0378385840838</c:v>
                </c:pt>
                <c:pt idx="52">
                  <c:v>54.7358331244727</c:v>
                </c:pt>
                <c:pt idx="53">
                  <c:v>54.4316559898898</c:v>
                </c:pt>
                <c:pt idx="54">
                  <c:v>54.1253201376203</c:v>
                </c:pt>
                <c:pt idx="55">
                  <c:v>53.8168411512282</c:v>
                </c:pt>
                <c:pt idx="56">
                  <c:v>53.5062372103195</c:v>
                </c:pt>
                <c:pt idx="57">
                  <c:v>53.1935290512526</c:v>
                </c:pt>
                <c:pt idx="58">
                  <c:v>52.8787399192412</c:v>
                </c:pt>
                <c:pt idx="59">
                  <c:v>52.5618955123606</c:v>
                </c:pt>
                <c:pt idx="60">
                  <c:v>52.243023918037</c:v>
                </c:pt>
                <c:pt idx="61">
                  <c:v>51.9221555426519</c:v>
                </c:pt>
                <c:pt idx="62">
                  <c:v>51.599323034944</c:v>
                </c:pt>
                <c:pt idx="63">
                  <c:v>51.2745612039223</c:v>
                </c:pt>
                <c:pt idx="64">
                  <c:v>50.9479069320385</c:v>
                </c:pt>
                <c:pt idx="65">
                  <c:v>50.6193990843791</c:v>
                </c:pt>
                <c:pt idx="66">
                  <c:v>50.2890784146479</c:v>
                </c:pt>
                <c:pt idx="67">
                  <c:v>49.9569874687087</c:v>
                </c:pt>
                <c:pt idx="68">
                  <c:v>49.6231704864463</c:v>
                </c:pt>
                <c:pt idx="69">
                  <c:v>49.2876733026862</c:v>
                </c:pt>
                <c:pt idx="70">
                  <c:v>48.9505432478876</c:v>
                </c:pt>
                <c:pt idx="71">
                  <c:v>48.6118290492893</c:v>
                </c:pt>
                <c:pt idx="72">
                  <c:v>48.2715807331495</c:v>
                </c:pt>
                <c:pt idx="73">
                  <c:v>47.9298495286766</c:v>
                </c:pt>
                <c:pt idx="74">
                  <c:v>47.586687774198</c:v>
                </c:pt>
                <c:pt idx="75">
                  <c:v>47.2421488260614</c:v>
                </c:pt>
                <c:pt idx="76">
                  <c:v>46.896286970709</c:v>
                </c:pt>
                <c:pt idx="77">
                  <c:v>46.5491573403052</c:v>
                </c:pt>
                <c:pt idx="78">
                  <c:v>46.2008158322461</c:v>
                </c:pt>
                <c:pt idx="79">
                  <c:v>45.8513190328137</c:v>
                </c:pt>
                <c:pt idx="80">
                  <c:v>45.5007241451869</c:v>
                </c:pt>
                <c:pt idx="81">
                  <c:v>45.1490889219596</c:v>
                </c:pt>
                <c:pt idx="82">
                  <c:v>44.7964716022661</c:v>
                </c:pt>
                <c:pt idx="83">
                  <c:v>44.4429308535544</c:v>
                </c:pt>
                <c:pt idx="84">
                  <c:v>44.0885257180055</c:v>
                </c:pt>
                <c:pt idx="85">
                  <c:v>43.7333155635415</c:v>
                </c:pt>
                <c:pt idx="86">
                  <c:v>43.3773600393251</c:v>
                </c:pt>
                <c:pt idx="87">
                  <c:v>43.0207190356089</c:v>
                </c:pt>
                <c:pt idx="88">
                  <c:v>42.6634526477548</c:v>
                </c:pt>
                <c:pt idx="89">
                  <c:v>42.305621144208</c:v>
                </c:pt>
                <c:pt idx="90">
                  <c:v>41.9472849381787</c:v>
                </c:pt>
                <c:pt idx="91">
                  <c:v>41.5885045627533</c:v>
                </c:pt>
                <c:pt idx="92">
                  <c:v>41.2293406491341</c:v>
                </c:pt>
                <c:pt idx="93">
                  <c:v>40.8698539076813</c:v>
                </c:pt>
                <c:pt idx="94">
                  <c:v>40.5101051114111</c:v>
                </c:pt>
                <c:pt idx="95">
                  <c:v>40.1501550815902</c:v>
                </c:pt>
                <c:pt idx="96">
                  <c:v>39.7900646750481</c:v>
                </c:pt>
                <c:pt idx="97">
                  <c:v>39.4298947728214</c:v>
                </c:pt>
                <c:pt idx="98">
                  <c:v>39.0697062697336</c:v>
                </c:pt>
                <c:pt idx="99">
                  <c:v>38.7095600645086</c:v>
                </c:pt>
                <c:pt idx="100">
                  <c:v>38.3495170500128</c:v>
                </c:pt>
                <c:pt idx="101">
                  <c:v>37.98963810322</c:v>
                </c:pt>
                <c:pt idx="102">
                  <c:v>37.6299840744944</c:v>
                </c:pt>
                <c:pt idx="103">
                  <c:v>37.2706157757918</c:v>
                </c:pt>
                <c:pt idx="104">
                  <c:v>36.9115939673873</c:v>
                </c:pt>
                <c:pt idx="105">
                  <c:v>36.5529793427428</c:v>
                </c:pt>
                <c:pt idx="106">
                  <c:v>36.1948325111486</c:v>
                </c:pt>
                <c:pt idx="107">
                  <c:v>35.8372139777774</c:v>
                </c:pt>
                <c:pt idx="108">
                  <c:v>35.4801841208153</c:v>
                </c:pt>
                <c:pt idx="109">
                  <c:v>35.1238031653539</c:v>
                </c:pt>
                <c:pt idx="110">
                  <c:v>34.7681311537479</c:v>
                </c:pt>
                <c:pt idx="111">
                  <c:v>34.4132279121714</c:v>
                </c:pt>
                <c:pt idx="112">
                  <c:v>34.0591530131427</c:v>
                </c:pt>
                <c:pt idx="113">
                  <c:v>33.7059657338066</c:v>
                </c:pt>
                <c:pt idx="114">
                  <c:v>33.3537250098178</c:v>
                </c:pt>
                <c:pt idx="115">
                  <c:v>33.0024893846919</c:v>
                </c:pt>
                <c:pt idx="116">
                  <c:v>32.6523169545481</c:v>
                </c:pt>
                <c:pt idx="117">
                  <c:v>32.3032653082028</c:v>
                </c:pt>
                <c:pt idx="118">
                  <c:v>31.9553914626294</c:v>
                </c:pt>
                <c:pt idx="119">
                  <c:v>31.6087517938473</c:v>
                </c:pt>
                <c:pt idx="120">
                  <c:v>31.2634019633602</c:v>
                </c:pt>
                <c:pt idx="121">
                  <c:v>30.919396840313</c:v>
                </c:pt>
                <c:pt idx="122">
                  <c:v>30.5767904196051</c:v>
                </c:pt>
                <c:pt idx="123">
                  <c:v>30.2356357362416</c:v>
                </c:pt>
                <c:pt idx="124">
                  <c:v>29.8959847762746</c:v>
                </c:pt>
                <c:pt idx="125">
                  <c:v>29.5578883847361</c:v>
                </c:pt>
                <c:pt idx="126">
                  <c:v>29.2213961710245</c:v>
                </c:pt>
                <c:pt idx="127">
                  <c:v>28.8865564122597</c:v>
                </c:pt>
                <c:pt idx="128">
                  <c:v>28.5534159551726</c:v>
                </c:pt>
                <c:pt idx="129">
                  <c:v>28.2220201171439</c:v>
                </c:pt>
                <c:pt idx="130">
                  <c:v>27.8924125870482</c:v>
                </c:pt>
                <c:pt idx="131">
                  <c:v>27.5646353265984</c:v>
                </c:pt>
                <c:pt idx="132">
                  <c:v>27.238728472915</c:v>
                </c:pt>
                <c:pt idx="133">
                  <c:v>26.9147302430677</c:v>
                </c:pt>
                <c:pt idx="134">
                  <c:v>26.5926768413555</c:v>
                </c:pt>
                <c:pt idx="135">
                  <c:v>26.2726023700947</c:v>
                </c:pt>
                <c:pt idx="136">
                  <c:v>25.9545387446843</c:v>
                </c:pt>
                <c:pt idx="137">
                  <c:v>25.6385156137061</c:v>
                </c:pt>
                <c:pt idx="138">
                  <c:v>25.3245602847955</c:v>
                </c:pt>
                <c:pt idx="139">
                  <c:v>25.012697656987</c:v>
                </c:pt>
                <c:pt idx="140">
                  <c:v>24.7029501602003</c:v>
                </c:pt>
                <c:pt idx="141">
                  <c:v>24.3953377024792</c:v>
                </c:pt>
                <c:pt idx="142">
                  <c:v>24.0898776255388</c:v>
                </c:pt>
                <c:pt idx="143">
                  <c:v>23.7865846691118</c:v>
                </c:pt>
                <c:pt idx="144">
                  <c:v>23.4854709445038</c:v>
                </c:pt>
                <c:pt idx="145">
                  <c:v>23.1865459176955</c:v>
                </c:pt>
                <c:pt idx="146">
                  <c:v>22.8898164022384</c:v>
                </c:pt>
                <c:pt idx="147">
                  <c:v>22.5952865621035</c:v>
                </c:pt>
                <c:pt idx="148">
                  <c:v>22.302957924551</c:v>
                </c:pt>
                <c:pt idx="149">
                  <c:v>22.0128294029971</c:v>
                </c:pt>
                <c:pt idx="150">
                  <c:v>21.7248973297599</c:v>
                </c:pt>
                <c:pt idx="151">
                  <c:v>21.4391554984784</c:v>
                </c:pt>
                <c:pt idx="152">
                  <c:v>21.15559521591</c:v>
                </c:pt>
                <c:pt idx="153">
                  <c:v>20.8742053627316</c:v>
                </c:pt>
                <c:pt idx="154">
                  <c:v>20.5949724628885</c:v>
                </c:pt>
                <c:pt idx="155">
                  <c:v>20.3178807609724</c:v>
                </c:pt>
                <c:pt idx="156">
                  <c:v>20.0429123070399</c:v>
                </c:pt>
                <c:pt idx="157">
                  <c:v>19.7700470482341</c:v>
                </c:pt>
                <c:pt idx="158">
                  <c:v>19.4992629265273</c:v>
                </c:pt>
                <c:pt idx="159">
                  <c:v>19.2305359818642</c:v>
                </c:pt>
                <c:pt idx="160">
                  <c:v>18.9638404599626</c:v>
                </c:pt>
                <c:pt idx="161">
                  <c:v>18.6991489240105</c:v>
                </c:pt>
                <c:pt idx="162">
                  <c:v>18.4364323694932</c:v>
                </c:pt>
                <c:pt idx="163">
                  <c:v>18.1756603413845</c:v>
                </c:pt>
                <c:pt idx="164">
                  <c:v>17.9168010529479</c:v>
                </c:pt>
                <c:pt idx="165">
                  <c:v>17.659821505414</c:v>
                </c:pt>
                <c:pt idx="166">
                  <c:v>17.4046876078226</c:v>
                </c:pt>
                <c:pt idx="167">
                  <c:v>17.1513642963534</c:v>
                </c:pt>
                <c:pt idx="168">
                  <c:v>16.8998156525086</c:v>
                </c:pt>
                <c:pt idx="169">
                  <c:v>16.6500050195469</c:v>
                </c:pt>
                <c:pt idx="170">
                  <c:v>16.4018951166238</c:v>
                </c:pt>
                <c:pt idx="171">
                  <c:v>16.1554481501354</c:v>
                </c:pt>
                <c:pt idx="172">
                  <c:v>15.9106259218166</c:v>
                </c:pt>
                <c:pt idx="173">
                  <c:v>15.6673899332007</c:v>
                </c:pt>
                <c:pt idx="174">
                  <c:v>15.4257014860921</c:v>
                </c:pt>
                <c:pt idx="175">
                  <c:v>15.1855217787668</c:v>
                </c:pt>
                <c:pt idx="176">
                  <c:v>14.9468119976566</c:v>
                </c:pt>
                <c:pt idx="177">
                  <c:v>14.7095334043324</c:v>
                </c:pt>
                <c:pt idx="178">
                  <c:v>14.4736474176426</c:v>
                </c:pt>
                <c:pt idx="179">
                  <c:v>14.2391156909118</c:v>
                </c:pt>
                <c:pt idx="180">
                  <c:v>14.0059001841476</c:v>
                </c:pt>
                <c:pt idx="181">
                  <c:v>13.7739632312418</c:v>
                </c:pt>
                <c:pt idx="182">
                  <c:v>13.5432676021889</c:v>
                </c:pt>
                <c:pt idx="183">
                  <c:v>13.313776560378</c:v>
                </c:pt>
                <c:pt idx="184">
                  <c:v>13.0854539150447</c:v>
                </c:pt>
                <c:pt idx="185">
                  <c:v>12.8582640689933</c:v>
                </c:pt>
                <c:pt idx="186">
                  <c:v>12.632172061725</c:v>
                </c:pt>
                <c:pt idx="187">
                  <c:v>12.4071436081261</c:v>
                </c:pt>
                <c:pt idx="188">
                  <c:v>12.1831451328857</c:v>
                </c:pt>
                <c:pt idx="189">
                  <c:v>11.9601438008283</c:v>
                </c:pt>
                <c:pt idx="190">
                  <c:v>11.7381075433536</c:v>
                </c:pt>
                <c:pt idx="191">
                  <c:v>11.5170050811868</c:v>
                </c:pt>
                <c:pt idx="192">
                  <c:v>11.2968059436484</c:v>
                </c:pt>
                <c:pt idx="193">
                  <c:v>11.0774804846504</c:v>
                </c:pt>
                <c:pt idx="194">
                  <c:v>10.8589998956362</c:v>
                </c:pt>
                <c:pt idx="195">
                  <c:v>10.6413362156712</c:v>
                </c:pt>
                <c:pt idx="196">
                  <c:v>10.424462338897</c:v>
                </c:pt>
                <c:pt idx="197">
                  <c:v>10.208352019554</c:v>
                </c:pt>
                <c:pt idx="198">
                  <c:v>9.99297987477237</c:v>
                </c:pt>
                <c:pt idx="199">
                  <c:v>9.7783213853311</c:v>
                </c:pt>
                <c:pt idx="200">
                  <c:v>9.56435289456874</c:v>
                </c:pt>
                <c:pt idx="201">
                  <c:v>9.35105160563322</c:v>
                </c:pt>
                <c:pt idx="202">
                  <c:v>9.13839557724155</c:v>
                </c:pt>
                <c:pt idx="203">
                  <c:v>8.92636371811594</c:v>
                </c:pt>
                <c:pt idx="204">
                  <c:v>8.71493578025512</c:v>
                </c:pt>
                <c:pt idx="205">
                  <c:v>8.50409235118759</c:v>
                </c:pt>
                <c:pt idx="206">
                  <c:v>8.29381484534923</c:v>
                </c:pt>
                <c:pt idx="207">
                  <c:v>8.08408549471456</c:v>
                </c:pt>
                <c:pt idx="208">
                  <c:v>7.87488733880367</c:v>
                </c:pt>
                <c:pt idx="209">
                  <c:v>7.66620421418042</c:v>
                </c:pt>
                <c:pt idx="210">
                  <c:v>7.45802074354515</c:v>
                </c:pt>
                <c:pt idx="211">
                  <c:v>7.25032232451811</c:v>
                </c:pt>
                <c:pt idx="212">
                  <c:v>7.04309511820412</c:v>
                </c:pt>
                <c:pt idx="213">
                  <c:v>6.83632603761573</c:v>
                </c:pt>
                <c:pt idx="214">
                  <c:v>6.63000273603027</c:v>
                </c:pt>
                <c:pt idx="215">
                  <c:v>6.42411359534257</c:v>
                </c:pt>
                <c:pt idx="216">
                  <c:v>6.21864771447482</c:v>
                </c:pt>
                <c:pt idx="217">
                  <c:v>6.01359489789044</c:v>
                </c:pt>
                <c:pt idx="218">
                  <c:v>5.80894564425786</c:v>
                </c:pt>
                <c:pt idx="219">
                  <c:v>5.60469113530114</c:v>
                </c:pt>
                <c:pt idx="220">
                  <c:v>5.40082322486806</c:v>
                </c:pt>
                <c:pt idx="221">
                  <c:v>5.19733442823973</c:v>
                </c:pt>
                <c:pt idx="222">
                  <c:v>4.99421791170221</c:v>
                </c:pt>
                <c:pt idx="223">
                  <c:v>4.79146748239113</c:v>
                </c:pt>
                <c:pt idx="224">
                  <c:v>4.58907757841781</c:v>
                </c:pt>
                <c:pt idx="225">
                  <c:v>4.38704325927847</c:v>
                </c:pt>
                <c:pt idx="226">
                  <c:v>4.18536019654308</c:v>
                </c:pt>
                <c:pt idx="227">
                  <c:v>3.98402466481509</c:v>
                </c:pt>
                <c:pt idx="228">
                  <c:v>3.7830335329475</c:v>
                </c:pt>
                <c:pt idx="229">
                  <c:v>3.58238425549735</c:v>
                </c:pt>
                <c:pt idx="230">
                  <c:v>3.38207486439309</c:v>
                </c:pt>
                <c:pt idx="231">
                  <c:v>3.18210396078746</c:v>
                </c:pt>
                <c:pt idx="232">
                  <c:v>2.98247070705949</c:v>
                </c:pt>
                <c:pt idx="233">
                  <c:v>2.78317481892837</c:v>
                </c:pt>
                <c:pt idx="234">
                  <c:v>2.5842165576344</c:v>
                </c:pt>
                <c:pt idx="235">
                  <c:v>2.38559672213781</c:v>
                </c:pt>
                <c:pt idx="236">
                  <c:v>2.18731664128093</c:v>
                </c:pt>
                <c:pt idx="237">
                  <c:v>1.98937816585674</c:v>
                </c:pt>
                <c:pt idx="238">
                  <c:v>1.79178366051667</c:v>
                </c:pt>
                <c:pt idx="239">
                  <c:v>1.59453599545262</c:v>
                </c:pt>
                <c:pt idx="240">
                  <c:v>1.39763853777558</c:v>
                </c:pt>
                <c:pt idx="241">
                  <c:v>1.20109514251656</c:v>
                </c:pt>
                <c:pt idx="242">
                  <c:v>1.00491014316317</c:v>
                </c:pt>
                <c:pt idx="243">
                  <c:v>0.809088341647134</c:v>
                </c:pt>
                <c:pt idx="244">
                  <c:v>0.613634997688834</c:v>
                </c:pt>
                <c:pt idx="245">
                  <c:v>0.418555817405222</c:v>
                </c:pt>
                <c:pt idx="246">
                  <c:v>0.223856941080194</c:v>
                </c:pt>
                <c:pt idx="247">
                  <c:v>0.0295449299944368</c:v>
                </c:pt>
                <c:pt idx="248">
                  <c:v>-0.164373247788758</c:v>
                </c:pt>
                <c:pt idx="249">
                  <c:v>-0.357890232792128</c:v>
                </c:pt>
                <c:pt idx="250">
                  <c:v>-0.550998290754029</c:v>
                </c:pt>
                <c:pt idx="251">
                  <c:v>-0.743689330631901</c:v>
                </c:pt>
                <c:pt idx="252">
                  <c:v>-0.935954924086478</c:v>
                </c:pt>
                <c:pt idx="253">
                  <c:v>-1.12778632655729</c:v>
                </c:pt>
                <c:pt idx="254">
                  <c:v>-1.31917450003612</c:v>
                </c:pt>
                <c:pt idx="255">
                  <c:v>-1.51011013763766</c:v>
                </c:pt>
                <c:pt idx="256">
                  <c:v>-1.70058369006964</c:v>
                </c:pt>
                <c:pt idx="257">
                  <c:v>-1.89058539408788</c:v>
                </c:pt>
                <c:pt idx="258">
                  <c:v>-2.08010530302164</c:v>
                </c:pt>
                <c:pt idx="259">
                  <c:v>-2.26913331943898</c:v>
                </c:pt>
                <c:pt idx="260">
                  <c:v>-2.45765923001101</c:v>
                </c:pt>
                <c:pt idx="261">
                  <c:v>-2.64567274262008</c:v>
                </c:pt>
                <c:pt idx="262">
                  <c:v>-2.83316352573612</c:v>
                </c:pt>
                <c:pt idx="263">
                  <c:v>-3.02012125007164</c:v>
                </c:pt>
                <c:pt idx="264">
                  <c:v>-3.20653563249864</c:v>
                </c:pt>
                <c:pt idx="265">
                  <c:v>-3.39239648218777</c:v>
                </c:pt>
                <c:pt idx="266">
                  <c:v>-3.57769374890528</c:v>
                </c:pt>
                <c:pt idx="267">
                  <c:v>-3.76241757336933</c:v>
                </c:pt>
                <c:pt idx="268">
                  <c:v>-3.94655833953904</c:v>
                </c:pt>
                <c:pt idx="269">
                  <c:v>-4.13010672867383</c:v>
                </c:pt>
                <c:pt idx="270">
                  <c:v>-4.31305377496264</c:v>
                </c:pt>
                <c:pt idx="271">
                  <c:v>-4.49539092248759</c:v>
                </c:pt>
                <c:pt idx="272">
                  <c:v>-4.67711008324444</c:v>
                </c:pt>
                <c:pt idx="273">
                  <c:v>-4.85820369590161</c:v>
                </c:pt>
                <c:pt idx="274">
                  <c:v>-5.03866478493928</c:v>
                </c:pt>
                <c:pt idx="275">
                  <c:v>-5.21848701976821</c:v>
                </c:pt>
                <c:pt idx="276">
                  <c:v>-5.3976647733859</c:v>
                </c:pt>
                <c:pt idx="277">
                  <c:v>-5.57619318009054</c:v>
                </c:pt>
                <c:pt idx="278">
                  <c:v>-5.75406819173375</c:v>
                </c:pt>
                <c:pt idx="279">
                  <c:v>-5.93128663196032</c:v>
                </c:pt>
                <c:pt idx="280">
                  <c:v>-6.10784624785113</c:v>
                </c:pt>
                <c:pt idx="281">
                  <c:v>-6.2837457583614</c:v>
                </c:pt>
                <c:pt idx="282">
                  <c:v>-6.45898489892407</c:v>
                </c:pt>
                <c:pt idx="283">
                  <c:v>-6.63356446157712</c:v>
                </c:pt>
                <c:pt idx="284">
                  <c:v>-6.80748632996433</c:v>
                </c:pt>
                <c:pt idx="285">
                  <c:v>-6.98075350856423</c:v>
                </c:pt>
                <c:pt idx="286">
                  <c:v>-7.15337014551043</c:v>
                </c:pt>
                <c:pt idx="287">
                  <c:v>-7.3253415483884</c:v>
                </c:pt>
                <c:pt idx="288">
                  <c:v>-7.49667419242433</c:v>
                </c:pt>
                <c:pt idx="289">
                  <c:v>-7.66737572052188</c:v>
                </c:pt>
                <c:pt idx="290">
                  <c:v>-7.83745493465559</c:v>
                </c:pt>
                <c:pt idx="291">
                  <c:v>-8.00692177818889</c:v>
                </c:pt>
                <c:pt idx="292">
                  <c:v>-8.17578730876115</c:v>
                </c:pt>
                <c:pt idx="293">
                  <c:v>-8.34406366146344</c:v>
                </c:pt>
                <c:pt idx="294">
                  <c:v>-8.5117640021189</c:v>
                </c:pt>
                <c:pt idx="295">
                  <c:v>-8.6789024705778</c:v>
                </c:pt>
                <c:pt idx="296">
                  <c:v>-8.84549411404238</c:v>
                </c:pt>
                <c:pt idx="297">
                  <c:v>-9.01155481054699</c:v>
                </c:pt>
                <c:pt idx="298">
                  <c:v>-9.17710118283017</c:v>
                </c:pt>
                <c:pt idx="299">
                  <c:v>-9.34215050294971</c:v>
                </c:pt>
                <c:pt idx="300">
                  <c:v>-9.50672058810662</c:v>
                </c:pt>
                <c:pt idx="301">
                  <c:v>-9.67082968825226</c:v>
                </c:pt>
                <c:pt idx="302">
                  <c:v>-9.83449636616178</c:v>
                </c:pt>
                <c:pt idx="303">
                  <c:v>-9.9977393707563</c:v>
                </c:pt>
                <c:pt idx="304">
                  <c:v>-10.1605775045468</c:v>
                </c:pt>
                <c:pt idx="305">
                  <c:v>-10.3230294861558</c:v>
                </c:pt>
                <c:pt idx="306">
                  <c:v>-10.4851138089394</c:v>
                </c:pt>
                <c:pt idx="307">
                  <c:v>-10.6468485967915</c:v>
                </c:pt>
                <c:pt idx="308">
                  <c:v>-10.8082514582527</c:v>
                </c:pt>
                <c:pt idx="309">
                  <c:v>-10.9693393400705</c:v>
                </c:pt>
                <c:pt idx="310">
                  <c:v>-11.1301283813722</c:v>
                </c:pt>
                <c:pt idx="311">
                  <c:v>-11.290633769605</c:v>
                </c:pt>
                <c:pt idx="312">
                  <c:v>-11.4508695993793</c:v>
                </c:pt>
                <c:pt idx="313">
                  <c:v>-11.6108487353112</c:v>
                </c:pt>
                <c:pt idx="314">
                  <c:v>-11.7705826799183</c:v>
                </c:pt>
                <c:pt idx="315">
                  <c:v>-11.9300814475547</c:v>
                </c:pt>
                <c:pt idx="316">
                  <c:v>-12.0893534452999</c:v>
                </c:pt>
                <c:pt idx="317">
                  <c:v>-12.2484053616335</c:v>
                </c:pt>
                <c:pt idx="318">
                  <c:v>-12.4072420636344</c:v>
                </c:pt>
                <c:pt idx="319">
                  <c:v>-12.5658665033458</c:v>
                </c:pt>
                <c:pt idx="320">
                  <c:v>-12.7242796338504</c:v>
                </c:pt>
                <c:pt idx="321">
                  <c:v>-12.8824803354891</c:v>
                </c:pt>
                <c:pt idx="322">
                  <c:v>-13.0404653525588</c:v>
                </c:pt>
                <c:pt idx="323">
                  <c:v>-13.1982292407217</c:v>
                </c:pt>
                <c:pt idx="324">
                  <c:v>-13.3557643252584</c:v>
                </c:pt>
                <c:pt idx="325">
                  <c:v>-13.5130606702091</c:v>
                </c:pt>
                <c:pt idx="326">
                  <c:v>-13.6701060583502</c:v>
                </c:pt>
                <c:pt idx="327">
                  <c:v>-13.8268859818891</c:v>
                </c:pt>
                <c:pt idx="328">
                  <c:v>-13.983383643675</c:v>
                </c:pt>
                <c:pt idx="329">
                  <c:v>-14.1395799686703</c:v>
                </c:pt>
                <c:pt idx="330">
                  <c:v>-14.295453625373</c:v>
                </c:pt>
                <c:pt idx="331">
                  <c:v>-14.4509810568329</c:v>
                </c:pt>
                <c:pt idx="332">
                  <c:v>-14.6061365208803</c:v>
                </c:pt>
                <c:pt idx="333">
                  <c:v>-14.7608921391487</c:v>
                </c:pt>
                <c:pt idx="334">
                  <c:v>-14.9152179544685</c:v>
                </c:pt>
                <c:pt idx="335">
                  <c:v>-15.0690819961906</c:v>
                </c:pt>
                <c:pt idx="336">
                  <c:v>-15.2224503530036</c:v>
                </c:pt>
                <c:pt idx="337">
                  <c:v>-15.3752872528093</c:v>
                </c:pt>
                <c:pt idx="338">
                  <c:v>-15.5275551492289</c:v>
                </c:pt>
                <c:pt idx="339">
                  <c:v>-15.6792148143298</c:v>
                </c:pt>
                <c:pt idx="340">
                  <c:v>-15.8302254371733</c:v>
                </c:pt>
                <c:pt idx="341">
                  <c:v>-15.9805447278021</c:v>
                </c:pt>
                <c:pt idx="342">
                  <c:v>-16.1301290263066</c:v>
                </c:pt>
                <c:pt idx="343">
                  <c:v>-16.2789334166217</c:v>
                </c:pt>
                <c:pt idx="344">
                  <c:v>-16.4269118447243</c:v>
                </c:pt>
                <c:pt idx="345">
                  <c:v>-16.574017240914</c:v>
                </c:pt>
                <c:pt idx="346">
                  <c:v>-16.7202016458704</c:v>
                </c:pt>
                <c:pt idx="347">
                  <c:v>-16.8654163401848</c:v>
                </c:pt>
                <c:pt idx="348">
                  <c:v>-17.0096119770709</c:v>
                </c:pt>
                <c:pt idx="349">
                  <c:v>-17.1527387179536</c:v>
                </c:pt>
                <c:pt idx="350">
                  <c:v>-17.2947463706286</c:v>
                </c:pt>
                <c:pt idx="351">
                  <c:v>-17.435584529679</c:v>
                </c:pt>
                <c:pt idx="352">
                  <c:v>-17.5752027188133</c:v>
                </c:pt>
                <c:pt idx="353">
                  <c:v>-17.7135505347747</c:v>
                </c:pt>
                <c:pt idx="354">
                  <c:v>-17.8505777924451</c:v>
                </c:pt>
                <c:pt idx="355">
                  <c:v>-17.9862346707414</c:v>
                </c:pt>
                <c:pt idx="356">
                  <c:v>-18.1204718588721</c:v>
                </c:pt>
                <c:pt idx="357">
                  <c:v>-18.2532407024917</c:v>
                </c:pt>
                <c:pt idx="358">
                  <c:v>-18.3844933492554</c:v>
                </c:pt>
                <c:pt idx="359">
                  <c:v>-18.5141828932485</c:v>
                </c:pt>
                <c:pt idx="360">
                  <c:v>-18.6422635177284</c:v>
                </c:pt>
                <c:pt idx="361">
                  <c:v>-18.7686906355922</c:v>
                </c:pt>
                <c:pt idx="362">
                  <c:v>-18.8934210269534</c:v>
                </c:pt>
                <c:pt idx="363">
                  <c:v>-19.0164129731887</c:v>
                </c:pt>
                <c:pt idx="364">
                  <c:v>-19.1376263868018</c:v>
                </c:pt>
                <c:pt idx="365">
                  <c:v>-19.2570229364343</c:v>
                </c:pt>
                <c:pt idx="366">
                  <c:v>-19.3745661663536</c:v>
                </c:pt>
                <c:pt idx="367">
                  <c:v>-19.4902216097484</c:v>
                </c:pt>
                <c:pt idx="368">
                  <c:v>-19.6039568951732</c:v>
                </c:pt>
                <c:pt idx="369">
                  <c:v>-19.7157418455023</c:v>
                </c:pt>
                <c:pt idx="370">
                  <c:v>-19.8255485687843</c:v>
                </c:pt>
                <c:pt idx="371">
                  <c:v>-19.9333515404208</c:v>
                </c:pt>
                <c:pt idx="372">
                  <c:v>-20.0391276761426</c:v>
                </c:pt>
                <c:pt idx="373">
                  <c:v>-20.142856395308</c:v>
                </c:pt>
                <c:pt idx="374">
                  <c:v>-20.2445196741111</c:v>
                </c:pt>
                <c:pt idx="375">
                  <c:v>-20.3441020883553</c:v>
                </c:pt>
                <c:pt idx="376">
                  <c:v>-20.4415908455243</c:v>
                </c:pt>
                <c:pt idx="377">
                  <c:v>-20.5369758059614</c:v>
                </c:pt>
                <c:pt idx="378">
                  <c:v>-20.6302494930523</c:v>
                </c:pt>
                <c:pt idx="379">
                  <c:v>-20.7214070923955</c:v>
                </c:pt>
                <c:pt idx="380">
                  <c:v>-20.8104464400311</c:v>
                </c:pt>
                <c:pt idx="381">
                  <c:v>-20.8973679998861</c:v>
                </c:pt>
                <c:pt idx="382">
                  <c:v>-20.9821748306852</c:v>
                </c:pt>
                <c:pt idx="383">
                  <c:v>-21.064872542656</c:v>
                </c:pt>
                <c:pt idx="384">
                  <c:v>-21.1454692444415</c:v>
                </c:pt>
                <c:pt idx="385">
                  <c:v>-21.2239754807044</c:v>
                </c:pt>
                <c:pt idx="386">
                  <c:v>-21.3004041609798</c:v>
                </c:pt>
                <c:pt idx="387">
                  <c:v>-21.3747704803907</c:v>
                </c:pt>
                <c:pt idx="388">
                  <c:v>-21.4470918328969</c:v>
                </c:pt>
                <c:pt idx="389">
                  <c:v>-21.517387717791</c:v>
                </c:pt>
                <c:pt idx="390">
                  <c:v>-21.5856796401902</c:v>
                </c:pt>
                <c:pt idx="391">
                  <c:v>-21.6519910063011</c:v>
                </c:pt>
                <c:pt idx="392">
                  <c:v>-21.7163470142465</c:v>
                </c:pt>
                <c:pt idx="393">
                  <c:v>-21.7787745412571</c:v>
                </c:pt>
                <c:pt idx="394">
                  <c:v>-21.8393020280228</c:v>
                </c:pt>
                <c:pt idx="395">
                  <c:v>-21.8979593609933</c:v>
                </c:pt>
                <c:pt idx="396">
                  <c:v>-21.9547777533944</c:v>
                </c:pt>
                <c:pt idx="397">
                  <c:v>-22.0097896257065</c:v>
                </c:pt>
                <c:pt idx="398">
                  <c:v>-22.0630284863135</c:v>
                </c:pt>
                <c:pt idx="399">
                  <c:v>-22.1145288129969</c:v>
                </c:pt>
                <c:pt idx="400">
                  <c:v>-22.164325935905</c:v>
                </c:pt>
                <c:pt idx="401">
                  <c:v>-22.2124559225798</c:v>
                </c:pt>
                <c:pt idx="402">
                  <c:v>-22.2589554655762</c:v>
                </c:pt>
                <c:pt idx="403">
                  <c:v>-22.3038617731547</c:v>
                </c:pt>
                <c:pt idx="404">
                  <c:v>-22.3472124634734</c:v>
                </c:pt>
                <c:pt idx="405">
                  <c:v>-22.3890454626574</c:v>
                </c:pt>
                <c:pt idx="406">
                  <c:v>-22.4293989070609</c:v>
                </c:pt>
                <c:pt idx="407">
                  <c:v>-22.4683110499924</c:v>
                </c:pt>
                <c:pt idx="408">
                  <c:v>-22.5058201731174</c:v>
                </c:pt>
                <c:pt idx="409">
                  <c:v>-22.5419645027057</c:v>
                </c:pt>
                <c:pt idx="410">
                  <c:v>-22.5767821308398</c:v>
                </c:pt>
                <c:pt idx="411">
                  <c:v>-22.6103109416637</c:v>
                </c:pt>
                <c:pt idx="412">
                  <c:v>-22.6425885426996</c:v>
                </c:pt>
                <c:pt idx="413">
                  <c:v>-22.6736522012343</c:v>
                </c:pt>
                <c:pt idx="414">
                  <c:v>-22.7035387857313</c:v>
                </c:pt>
                <c:pt idx="415">
                  <c:v>-22.7322847122001</c:v>
                </c:pt>
                <c:pt idx="416">
                  <c:v>-22.7599258954254</c:v>
                </c:pt>
                <c:pt idx="417">
                  <c:v>-22.786497704933</c:v>
                </c:pt>
                <c:pt idx="418">
                  <c:v>-22.8120349255488</c:v>
                </c:pt>
                <c:pt idx="419">
                  <c:v>-22.836571722391</c:v>
                </c:pt>
                <c:pt idx="420">
                  <c:v>-22.86014161012</c:v>
                </c:pt>
                <c:pt idx="421">
                  <c:v>-22.8827774262578</c:v>
                </c:pt>
                <c:pt idx="422">
                  <c:v>-22.9045113083819</c:v>
                </c:pt>
                <c:pt idx="423">
                  <c:v>-22.9253746749904</c:v>
                </c:pt>
                <c:pt idx="424">
                  <c:v>-22.9453982098314</c:v>
                </c:pt>
                <c:pt idx="425">
                  <c:v>-22.9646118494889</c:v>
                </c:pt>
                <c:pt idx="426">
                  <c:v>-22.9830447740142</c:v>
                </c:pt>
                <c:pt idx="427">
                  <c:v>-23.000725400397</c:v>
                </c:pt>
                <c:pt idx="428">
                  <c:v>-23.0176813786694</c:v>
                </c:pt>
                <c:pt idx="429">
                  <c:v>-23.0339395904445</c:v>
                </c:pt>
                <c:pt idx="430">
                  <c:v>-23.0495261496916</c:v>
                </c:pt>
                <c:pt idx="431">
                  <c:v>-23.0644664055593</c:v>
                </c:pt>
                <c:pt idx="432">
                  <c:v>-23.0787849470659</c:v>
                </c:pt>
                <c:pt idx="433">
                  <c:v>-23.0925056094782</c:v>
                </c:pt>
                <c:pt idx="434">
                  <c:v>-23.1056514822138</c:v>
                </c:pt>
                <c:pt idx="435">
                  <c:v>-23.1182449181073</c:v>
                </c:pt>
                <c:pt idx="436">
                  <c:v>-23.1303075438887</c:v>
                </c:pt>
                <c:pt idx="437">
                  <c:v>-23.1418602717312</c:v>
                </c:pt>
                <c:pt idx="438">
                  <c:v>-23.1529233117372</c:v>
                </c:pt>
                <c:pt idx="439">
                  <c:v>-23.1635161852319</c:v>
                </c:pt>
                <c:pt idx="440">
                  <c:v>-23.1736577387534</c:v>
                </c:pt>
                <c:pt idx="441">
                  <c:v>-23.1833661586238</c:v>
                </c:pt>
                <c:pt idx="442">
                  <c:v>-23.1926589860072</c:v>
                </c:pt>
                <c:pt idx="443">
                  <c:v>-23.2015531323533</c:v>
                </c:pt>
                <c:pt idx="444">
                  <c:v>-23.2100648951484</c:v>
                </c:pt>
                <c:pt idx="445">
                  <c:v>-23.2182099738892</c:v>
                </c:pt>
                <c:pt idx="446">
                  <c:v>-23.2260034862098</c:v>
                </c:pt>
                <c:pt idx="447">
                  <c:v>-23.2334599840956</c:v>
                </c:pt>
                <c:pt idx="448">
                  <c:v>-23.2405934701253</c:v>
                </c:pt>
                <c:pt idx="449">
                  <c:v>-23.2474174136861</c:v>
                </c:pt>
                <c:pt idx="450">
                  <c:v>-23.2539447671147</c:v>
                </c:pt>
                <c:pt idx="451">
                  <c:v>-23.2601879817208</c:v>
                </c:pt>
                <c:pt idx="452">
                  <c:v>-23.2661590236535</c:v>
                </c:pt>
                <c:pt idx="453">
                  <c:v>-23.2718693895782</c:v>
                </c:pt>
                <c:pt idx="454">
                  <c:v>-23.2773301221337</c:v>
                </c:pt>
                <c:pt idx="455">
                  <c:v>-23.2825518251427</c:v>
                </c:pt>
                <c:pt idx="456">
                  <c:v>-23.2875446785535</c:v>
                </c:pt>
                <c:pt idx="457">
                  <c:v>-23.2923184530951</c:v>
                </c:pt>
                <c:pt idx="458">
                  <c:v>-23.296882524626</c:v>
                </c:pt>
                <c:pt idx="459">
                  <c:v>-23.301245888168</c:v>
                </c:pt>
                <c:pt idx="460">
                  <c:v>-23.3054171716093</c:v>
                </c:pt>
                <c:pt idx="461">
                  <c:v>-23.3094046490725</c:v>
                </c:pt>
                <c:pt idx="462">
                  <c:v>-23.3132162539363</c:v>
                </c:pt>
                <c:pt idx="463">
                  <c:v>-23.3168595915102</c:v>
                </c:pt>
                <c:pt idx="464">
                  <c:v>-23.3203419513577</c:v>
                </c:pt>
                <c:pt idx="465">
                  <c:v>-23.3236703192652</c:v>
                </c:pt>
                <c:pt idx="466">
                  <c:v>-23.3268513888587</c:v>
                </c:pt>
                <c:pt idx="467">
                  <c:v>-23.3298915728669</c:v>
                </c:pt>
                <c:pt idx="468">
                  <c:v>-23.3327970140361</c:v>
                </c:pt>
                <c:pt idx="469">
                  <c:v>-23.3355735956957</c:v>
                </c:pt>
                <c:pt idx="470">
                  <c:v>-23.3382269519831</c:v>
                </c:pt>
                <c:pt idx="471">
                  <c:v>-23.3407624777275</c:v>
                </c:pt>
                <c:pt idx="472">
                  <c:v>-23.3431853380029</c:v>
                </c:pt>
                <c:pt idx="473">
                  <c:v>-23.3455004773519</c:v>
                </c:pt>
                <c:pt idx="474">
                  <c:v>-23.3477126286904</c:v>
                </c:pt>
                <c:pt idx="475">
                  <c:v>-23.349826321895</c:v>
                </c:pt>
                <c:pt idx="476">
                  <c:v>-23.3518458920865</c:v>
                </c:pt>
                <c:pt idx="477">
                  <c:v>-23.353775487611</c:v>
                </c:pt>
                <c:pt idx="478">
                  <c:v>-23.3556190777285</c:v>
                </c:pt>
                <c:pt idx="479">
                  <c:v>-23.3573804600176</c:v>
                </c:pt>
                <c:pt idx="480">
                  <c:v>-23.3590632675017</c:v>
                </c:pt>
                <c:pt idx="481">
                  <c:v>-23.3606709755063</c:v>
                </c:pt>
                <c:pt idx="482">
                  <c:v>-23.3622069082544</c:v>
                </c:pt>
                <c:pt idx="483">
                  <c:v>-23.3636742452084</c:v>
                </c:pt>
                <c:pt idx="484">
                  <c:v>-23.365076027165</c:v>
                </c:pt>
                <c:pt idx="485">
                  <c:v>-23.366415162113</c:v>
                </c:pt>
                <c:pt idx="486">
                  <c:v>-23.3676944308593</c:v>
                </c:pt>
                <c:pt idx="487">
                  <c:v>-23.3689164924325</c:v>
                </c:pt>
                <c:pt idx="488">
                  <c:v>-23.3700838892711</c:v>
                </c:pt>
                <c:pt idx="489">
                  <c:v>-23.3711990522025</c:v>
                </c:pt>
                <c:pt idx="490">
                  <c:v>-23.3722643052222</c:v>
                </c:pt>
                <c:pt idx="491">
                  <c:v>-23.3732818700778</c:v>
                </c:pt>
                <c:pt idx="492">
                  <c:v>-23.374253870667</c:v>
                </c:pt>
                <c:pt idx="493">
                  <c:v>-23.3751823372553</c:v>
                </c:pt>
                <c:pt idx="494">
                  <c:v>-23.3760692105185</c:v>
                </c:pt>
                <c:pt idx="495">
                  <c:v>-23.3769163454208</c:v>
                </c:pt>
                <c:pt idx="496">
                  <c:v>-23.3777255149288</c:v>
                </c:pt>
                <c:pt idx="497">
                  <c:v>-23.3784984135727</c:v>
                </c:pt>
                <c:pt idx="498">
                  <c:v>-23.3792366608584</c:v>
                </c:pt>
                <c:pt idx="499">
                  <c:v>-23.3799418045348</c:v>
                </c:pt>
                <c:pt idx="500">
                  <c:v>-23.3806153237255</c:v>
                </c:pt>
                <c:pt idx="501">
                  <c:v>-23.3812586319261</c:v>
                </c:pt>
                <c:pt idx="502">
                  <c:v>-23.3818730798766</c:v>
                </c:pt>
                <c:pt idx="503">
                  <c:v>-23.3824599583098</c:v>
                </c:pt>
                <c:pt idx="504">
                  <c:v>-23.3830205005835</c:v>
                </c:pt>
                <c:pt idx="505">
                  <c:v>-23.3835558852006</c:v>
                </c:pt>
                <c:pt idx="506">
                  <c:v>-23.3840672382198</c:v>
                </c:pt>
                <c:pt idx="507">
                  <c:v>-23.3845556355646</c:v>
                </c:pt>
                <c:pt idx="508">
                  <c:v>-23.3850221052311</c:v>
                </c:pt>
                <c:pt idx="509">
                  <c:v>-23.3854676294026</c:v>
                </c:pt>
                <c:pt idx="510">
                  <c:v>-23.385893146471</c:v>
                </c:pt>
                <c:pt idx="511">
                  <c:v>-23.3862995529715</c:v>
                </c:pt>
                <c:pt idx="512">
                  <c:v>-23.3866877054338</c:v>
                </c:pt>
                <c:pt idx="513">
                  <c:v>-23.3870584221521</c:v>
                </c:pt>
                <c:pt idx="514">
                  <c:v>-23.3874124848785</c:v>
                </c:pt>
                <c:pt idx="515">
                  <c:v>-23.3877506404423</c:v>
                </c:pt>
                <c:pt idx="516">
                  <c:v>-23.3880736022991</c:v>
                </c:pt>
                <c:pt idx="517">
                  <c:v>-23.3883820520118</c:v>
                </c:pt>
                <c:pt idx="518">
                  <c:v>-23.388676640667</c:v>
                </c:pt>
                <c:pt idx="519">
                  <c:v>-23.3889579902289</c:v>
                </c:pt>
                <c:pt idx="520">
                  <c:v>-23.3892266948343</c:v>
                </c:pt>
                <c:pt idx="521">
                  <c:v>-23.3894833220307</c:v>
                </c:pt>
                <c:pt idx="522">
                  <c:v>-23.3897284139594</c:v>
                </c:pt>
                <c:pt idx="523">
                  <c:v>-23.3899624884873</c:v>
                </c:pt>
                <c:pt idx="524">
                  <c:v>-23.3901860402878</c:v>
                </c:pt>
                <c:pt idx="525">
                  <c:v>-23.3903995418751</c:v>
                </c:pt>
                <c:pt idx="526">
                  <c:v>-23.3906034445924</c:v>
                </c:pt>
                <c:pt idx="527">
                  <c:v>-23.3907981795559</c:v>
                </c:pt>
                <c:pt idx="528">
                  <c:v>-23.390984158558</c:v>
                </c:pt>
                <c:pt idx="529">
                  <c:v>-23.3911617749297</c:v>
                </c:pt>
                <c:pt idx="530">
                  <c:v>-23.3913314043654</c:v>
                </c:pt>
                <c:pt idx="531">
                  <c:v>-23.3914934057106</c:v>
                </c:pt>
                <c:pt idx="532">
                  <c:v>-23.3916481217153</c:v>
                </c:pt>
                <c:pt idx="533">
                  <c:v>-23.3917958797531</c:v>
                </c:pt>
                <c:pt idx="534">
                  <c:v>-23.3919369925093</c:v>
                </c:pt>
                <c:pt idx="535">
                  <c:v>-23.3920717586378</c:v>
                </c:pt>
                <c:pt idx="536">
                  <c:v>-23.3922004633889</c:v>
                </c:pt>
                <c:pt idx="537">
                  <c:v>-23.3923233792091</c:v>
                </c:pt>
                <c:pt idx="538">
                  <c:v>-23.3924407663147</c:v>
                </c:pt>
                <c:pt idx="539">
                  <c:v>-23.3925528732389</c:v>
                </c:pt>
                <c:pt idx="540">
                  <c:v>-23.3926599373559</c:v>
                </c:pt>
                <c:pt idx="541">
                  <c:v>-23.3927621853798</c:v>
                </c:pt>
              </c:numCache>
            </c:numRef>
          </c:yVal>
          <c:smooth val="1"/>
        </c:ser>
        <c:dLbls>
          <c:showLegendKey val="0"/>
          <c:showVal val="0"/>
          <c:showCatName val="0"/>
          <c:showSerName val="0"/>
          <c:showPercent val="0"/>
          <c:showBubbleSize val="0"/>
        </c:dLbls>
        <c:axId val="178901376"/>
        <c:axId val="178903296"/>
      </c:scatterChart>
      <c:scatterChart>
        <c:scatterStyle val="smooth"/>
        <c:varyColors val="0"/>
        <c:ser>
          <c:idx val="1"/>
          <c:order val="1"/>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Loop_Modeling!$BK$19:$BK$560</c:f>
              <c:numCache>
                <c:formatCode>General</c:formatCode>
                <c:ptCount val="542"/>
                <c:pt idx="0">
                  <c:v>74.2836375058696</c:v>
                </c:pt>
                <c:pt idx="1">
                  <c:v>73.944296475856</c:v>
                </c:pt>
                <c:pt idx="2">
                  <c:v>73.598809474812</c:v>
                </c:pt>
                <c:pt idx="3">
                  <c:v>73.2471419758502</c:v>
                </c:pt>
                <c:pt idx="4">
                  <c:v>72.8892645943799</c:v>
                </c:pt>
                <c:pt idx="5">
                  <c:v>72.5251534514681</c:v>
                </c:pt>
                <c:pt idx="6">
                  <c:v>72.1547905468501</c:v>
                </c:pt>
                <c:pt idx="7">
                  <c:v>71.778164140722</c:v>
                </c:pt>
                <c:pt idx="8">
                  <c:v>71.395269143311</c:v>
                </c:pt>
                <c:pt idx="9">
                  <c:v>71.0061075110716</c:v>
                </c:pt>
                <c:pt idx="10">
                  <c:v>70.6106886481967</c:v>
                </c:pt>
                <c:pt idx="11">
                  <c:v>70.2090298119744</c:v>
                </c:pt>
                <c:pt idx="12">
                  <c:v>69.8011565203569</c:v>
                </c:pt>
                <c:pt idx="13">
                  <c:v>69.3871029599365</c:v>
                </c:pt>
                <c:pt idx="14">
                  <c:v>68.9669123923619</c:v>
                </c:pt>
                <c:pt idx="15">
                  <c:v>68.5406375570498</c:v>
                </c:pt>
                <c:pt idx="16">
                  <c:v>68.1083410678955</c:v>
                </c:pt>
                <c:pt idx="17">
                  <c:v>67.6700958015125</c:v>
                </c:pt>
                <c:pt idx="18">
                  <c:v>67.2259852743911</c:v>
                </c:pt>
                <c:pt idx="19">
                  <c:v>66.7761040062187</c:v>
                </c:pt>
                <c:pt idx="20">
                  <c:v>66.3205578664829</c:v>
                </c:pt>
                <c:pt idx="21">
                  <c:v>65.8594644013655</c:v>
                </c:pt>
                <c:pt idx="22">
                  <c:v>65.3929531378486</c:v>
                </c:pt>
                <c:pt idx="23">
                  <c:v>64.9211658618878</c:v>
                </c:pt>
                <c:pt idx="24">
                  <c:v>64.444256867476</c:v>
                </c:pt>
                <c:pt idx="25">
                  <c:v>63.9623931733971</c:v>
                </c:pt>
                <c:pt idx="26">
                  <c:v>63.4757547045204</c:v>
                </c:pt>
                <c:pt idx="27">
                  <c:v>62.984534434519</c:v>
                </c:pt>
                <c:pt idx="28">
                  <c:v>62.4889384870245</c:v>
                </c:pt>
                <c:pt idx="29">
                  <c:v>61.9891861923443</c:v>
                </c:pt>
                <c:pt idx="30">
                  <c:v>61.4855100970794</c:v>
                </c:pt>
                <c:pt idx="31">
                  <c:v>60.9781559241777</c:v>
                </c:pt>
                <c:pt idx="32">
                  <c:v>60.4673824812532</c:v>
                </c:pt>
                <c:pt idx="33">
                  <c:v>59.953461515298</c:v>
                </c:pt>
                <c:pt idx="34">
                  <c:v>59.4366775122722</c:v>
                </c:pt>
                <c:pt idx="35">
                  <c:v>58.9173274404511</c:v>
                </c:pt>
                <c:pt idx="36">
                  <c:v>58.3957204368363</c:v>
                </c:pt>
                <c:pt idx="37">
                  <c:v>57.8721774363963</c:v>
                </c:pt>
                <c:pt idx="38">
                  <c:v>57.3470307443904</c:v>
                </c:pt>
                <c:pt idx="39">
                  <c:v>56.8206235525362</c:v>
                </c:pt>
                <c:pt idx="40">
                  <c:v>56.2933094003062</c:v>
                </c:pt>
                <c:pt idx="41">
                  <c:v>55.7654515831616</c:v>
                </c:pt>
                <c:pt idx="42">
                  <c:v>55.237422510067</c:v>
                </c:pt>
                <c:pt idx="43">
                  <c:v>54.7096030131436</c:v>
                </c:pt>
                <c:pt idx="44">
                  <c:v>54.1823816128213</c:v>
                </c:pt>
                <c:pt idx="45">
                  <c:v>53.6561537423283</c:v>
                </c:pt>
                <c:pt idx="46">
                  <c:v>53.1313209357984</c:v>
                </c:pt>
                <c:pt idx="47">
                  <c:v>52.6082899846692</c:v>
                </c:pt>
                <c:pt idx="48">
                  <c:v>52.0874720674098</c:v>
                </c:pt>
                <c:pt idx="49">
                  <c:v>51.569281857895</c:v>
                </c:pt>
                <c:pt idx="50">
                  <c:v>51.0541366179882</c:v>
                </c:pt>
                <c:pt idx="51">
                  <c:v>50.5424552800565</c:v>
                </c:pt>
                <c:pt idx="52">
                  <c:v>50.0346575252441</c:v>
                </c:pt>
                <c:pt idx="53">
                  <c:v>49.5311628633511</c:v>
                </c:pt>
                <c:pt idx="54">
                  <c:v>49.0323897201242</c:v>
                </c:pt>
                <c:pt idx="55">
                  <c:v>48.5387545376492</c:v>
                </c:pt>
                <c:pt idx="56">
                  <c:v>48.050670893346</c:v>
                </c:pt>
                <c:pt idx="57">
                  <c:v>47.568548642815</c:v>
                </c:pt>
                <c:pt idx="58">
                  <c:v>47.0927930914813</c:v>
                </c:pt>
                <c:pt idx="59">
                  <c:v>46.6238041995931</c:v>
                </c:pt>
                <c:pt idx="60">
                  <c:v>46.16197582474</c:v>
                </c:pt>
                <c:pt idx="61">
                  <c:v>45.707695005572</c:v>
                </c:pt>
                <c:pt idx="62">
                  <c:v>45.2613412899297</c:v>
                </c:pt>
                <c:pt idx="63">
                  <c:v>44.823286110059</c:v>
                </c:pt>
                <c:pt idx="64">
                  <c:v>44.3938922070597</c:v>
                </c:pt>
                <c:pt idx="65">
                  <c:v>43.9735131061734</c:v>
                </c:pt>
                <c:pt idx="66">
                  <c:v>43.562492643965</c:v>
                </c:pt>
                <c:pt idx="67">
                  <c:v>43.1611645479194</c:v>
                </c:pt>
                <c:pt idx="68">
                  <c:v>42.7698520684583</c:v>
                </c:pt>
                <c:pt idx="69">
                  <c:v>42.3888676628691</c:v>
                </c:pt>
                <c:pt idx="70">
                  <c:v>42.018512730177</c:v>
                </c:pt>
                <c:pt idx="71">
                  <c:v>41.6590773955444</c:v>
                </c:pt>
                <c:pt idx="72">
                  <c:v>41.3108403423761</c:v>
                </c:pt>
                <c:pt idx="73">
                  <c:v>40.9740686899482</c:v>
                </c:pt>
                <c:pt idx="74">
                  <c:v>40.6490179140533</c:v>
                </c:pt>
                <c:pt idx="75">
                  <c:v>40.3359318078763</c:v>
                </c:pt>
                <c:pt idx="76">
                  <c:v>40.035042480081</c:v>
                </c:pt>
                <c:pt idx="77">
                  <c:v>39.7465703868962</c:v>
                </c:pt>
                <c:pt idx="78">
                  <c:v>39.4707243948473</c:v>
                </c:pt>
                <c:pt idx="79">
                  <c:v>39.2077018706666</c:v>
                </c:pt>
                <c:pt idx="80">
                  <c:v>38.9576887948654</c:v>
                </c:pt>
                <c:pt idx="81">
                  <c:v>38.720859895409</c:v>
                </c:pt>
                <c:pt idx="82">
                  <c:v>38.497378797961</c:v>
                </c:pt>
                <c:pt idx="83">
                  <c:v>38.2873981892003</c:v>
                </c:pt>
                <c:pt idx="84">
                  <c:v>38.0910599897795</c:v>
                </c:pt>
                <c:pt idx="85">
                  <c:v>37.9084955336128</c:v>
                </c:pt>
                <c:pt idx="86">
                  <c:v>37.7398257502911</c:v>
                </c:pt>
                <c:pt idx="87">
                  <c:v>37.5851613475691</c:v>
                </c:pt>
                <c:pt idx="88">
                  <c:v>37.444602991045</c:v>
                </c:pt>
                <c:pt idx="89">
                  <c:v>37.3182414783227</c:v>
                </c:pt>
                <c:pt idx="90">
                  <c:v>37.2061579051425</c:v>
                </c:pt>
                <c:pt idx="91">
                  <c:v>37.1084238211827</c:v>
                </c:pt>
                <c:pt idx="92">
                  <c:v>37.0251013734308</c:v>
                </c:pt>
                <c:pt idx="93">
                  <c:v>36.956243435265</c:v>
                </c:pt>
                <c:pt idx="94">
                  <c:v>36.9018937196011</c:v>
                </c:pt>
                <c:pt idx="95">
                  <c:v>36.8620868747014</c:v>
                </c:pt>
                <c:pt idx="96">
                  <c:v>36.8368485614767</c:v>
                </c:pt>
                <c:pt idx="97">
                  <c:v>36.8261955113523</c:v>
                </c:pt>
                <c:pt idx="98">
                  <c:v>36.8301355640128</c:v>
                </c:pt>
                <c:pt idx="99">
                  <c:v>36.8486676845817</c:v>
                </c:pt>
                <c:pt idx="100">
                  <c:v>36.8817819600373</c:v>
                </c:pt>
                <c:pt idx="101">
                  <c:v>36.9294595749124</c:v>
                </c:pt>
                <c:pt idx="102">
                  <c:v>36.9916727665669</c:v>
                </c:pt>
                <c:pt idx="103">
                  <c:v>37.0683847605676</c:v>
                </c:pt>
                <c:pt idx="104">
                  <c:v>37.159549686956</c:v>
                </c:pt>
                <c:pt idx="105">
                  <c:v>37.2651124784193</c:v>
                </c:pt>
                <c:pt idx="106">
                  <c:v>37.3850087516245</c:v>
                </c:pt>
                <c:pt idx="107">
                  <c:v>37.5191646732117</c:v>
                </c:pt>
                <c:pt idx="108">
                  <c:v>37.6674968121707</c:v>
                </c:pt>
                <c:pt idx="109">
                  <c:v>37.8299119805519</c:v>
                </c:pt>
                <c:pt idx="110">
                  <c:v>38.0063070646904</c:v>
                </c:pt>
                <c:pt idx="111">
                  <c:v>38.1965688493205</c:v>
                </c:pt>
                <c:pt idx="112">
                  <c:v>38.4005738371726</c:v>
                </c:pt>
                <c:pt idx="113">
                  <c:v>38.6181880668257</c:v>
                </c:pt>
                <c:pt idx="114">
                  <c:v>38.8492669317654</c:v>
                </c:pt>
                <c:pt idx="115">
                  <c:v>39.0936550037586</c:v>
                </c:pt>
                <c:pt idx="116">
                  <c:v>39.351185863791</c:v>
                </c:pt>
                <c:pt idx="117">
                  <c:v>39.6216819439307</c:v>
                </c:pt>
                <c:pt idx="118">
                  <c:v>39.9049543835714</c:v>
                </c:pt>
                <c:pt idx="119">
                  <c:v>40.2008029035764</c:v>
                </c:pt>
                <c:pt idx="120">
                  <c:v>40.5090157018623</c:v>
                </c:pt>
                <c:pt idx="121">
                  <c:v>40.8293693739803</c:v>
                </c:pt>
                <c:pt idx="122">
                  <c:v>41.1616288621866</c:v>
                </c:pt>
                <c:pt idx="123">
                  <c:v>41.5055474364415</c:v>
                </c:pt>
                <c:pt idx="124">
                  <c:v>41.8608667106346</c:v>
                </c:pt>
                <c:pt idx="125">
                  <c:v>42.2273166971866</c:v>
                </c:pt>
                <c:pt idx="126">
                  <c:v>42.6046159029596</c:v>
                </c:pt>
                <c:pt idx="127">
                  <c:v>42.9924714691655</c:v>
                </c:pt>
                <c:pt idx="128">
                  <c:v>43.3905793576646</c:v>
                </c:pt>
                <c:pt idx="129">
                  <c:v>43.7986245856983</c:v>
                </c:pt>
                <c:pt idx="130">
                  <c:v>44.2162815107382</c:v>
                </c:pt>
                <c:pt idx="131">
                  <c:v>44.6432141666954</c:v>
                </c:pt>
                <c:pt idx="132">
                  <c:v>45.0790766522971</c:v>
                </c:pt>
                <c:pt idx="133">
                  <c:v>45.5235135719418</c:v>
                </c:pt>
                <c:pt idx="134">
                  <c:v>45.9761605288376</c:v>
                </c:pt>
                <c:pt idx="135">
                  <c:v>46.4366446697072</c:v>
                </c:pt>
                <c:pt idx="136">
                  <c:v>46.9045852797914</c:v>
                </c:pt>
                <c:pt idx="137">
                  <c:v>47.3795944263445</c:v>
                </c:pt>
                <c:pt idx="138">
                  <c:v>47.8612776482738</c:v>
                </c:pt>
                <c:pt idx="139">
                  <c:v>48.3492346890442</c:v>
                </c:pt>
                <c:pt idx="140">
                  <c:v>48.8430602694554</c:v>
                </c:pt>
                <c:pt idx="141">
                  <c:v>49.3423448964244</c:v>
                </c:pt>
                <c:pt idx="142">
                  <c:v>49.8466757034563</c:v>
                </c:pt>
                <c:pt idx="143">
                  <c:v>50.3556373180916</c:v>
                </c:pt>
                <c:pt idx="144">
                  <c:v>50.868812751263</c:v>
                </c:pt>
                <c:pt idx="145">
                  <c:v>51.3857843032102</c:v>
                </c:pt>
                <c:pt idx="146">
                  <c:v>51.9061344803689</c:v>
                </c:pt>
                <c:pt idx="147">
                  <c:v>52.429446917499</c:v>
                </c:pt>
                <c:pt idx="148">
                  <c:v>52.9553072992065</c:v>
                </c:pt>
                <c:pt idx="149">
                  <c:v>53.4833042750272</c:v>
                </c:pt>
                <c:pt idx="150">
                  <c:v>54.0130303622587</c:v>
                </c:pt>
                <c:pt idx="151">
                  <c:v>54.5440828308804</c:v>
                </c:pt>
                <c:pt idx="152">
                  <c:v>55.0760645650748</c:v>
                </c:pt>
                <c:pt idx="153">
                  <c:v>55.608584896132</c:v>
                </c:pt>
                <c:pt idx="154">
                  <c:v>56.1412604018265</c:v>
                </c:pt>
                <c:pt idx="155">
                  <c:v>56.673715667735</c:v>
                </c:pt>
                <c:pt idx="156">
                  <c:v>57.2055840063687</c:v>
                </c:pt>
                <c:pt idx="157">
                  <c:v>57.736508130465</c:v>
                </c:pt>
                <c:pt idx="158">
                  <c:v>58.2661407772483</c:v>
                </c:pt>
                <c:pt idx="159">
                  <c:v>58.7941452810027</c:v>
                </c:pt>
                <c:pt idx="160">
                  <c:v>59.3201960918023</c:v>
                </c:pt>
                <c:pt idx="161">
                  <c:v>59.8439792387883</c:v>
                </c:pt>
                <c:pt idx="162">
                  <c:v>60.3651927368983</c:v>
                </c:pt>
                <c:pt idx="163">
                  <c:v>60.8835469364802</c:v>
                </c:pt>
                <c:pt idx="164">
                  <c:v>61.3987648157146</c:v>
                </c:pt>
                <c:pt idx="165">
                  <c:v>61.9105822162509</c:v>
                </c:pt>
                <c:pt idx="166">
                  <c:v>62.4187480229124</c:v>
                </c:pt>
                <c:pt idx="167">
                  <c:v>62.9230242887363</c:v>
                </c:pt>
                <c:pt idx="168">
                  <c:v>63.4231863069959</c:v>
                </c:pt>
                <c:pt idx="169">
                  <c:v>63.9190226321864</c:v>
                </c:pt>
                <c:pt idx="170">
                  <c:v>64.4103350522587</c:v>
                </c:pt>
                <c:pt idx="171">
                  <c:v>64.8969385146279</c:v>
                </c:pt>
                <c:pt idx="172">
                  <c:v>65.378661008704</c:v>
                </c:pt>
                <c:pt idx="173">
                  <c:v>65.8553434078523</c:v>
                </c:pt>
                <c:pt idx="174">
                  <c:v>66.3268392738138</c:v>
                </c:pt>
                <c:pt idx="175">
                  <c:v>66.7930146267138</c:v>
                </c:pt>
                <c:pt idx="176">
                  <c:v>67.2537476838132</c:v>
                </c:pt>
                <c:pt idx="177">
                  <c:v>67.7089285701917</c:v>
                </c:pt>
                <c:pt idx="178">
                  <c:v>68.1584590045161</c:v>
                </c:pt>
                <c:pt idx="179">
                  <c:v>68.6022519630016</c:v>
                </c:pt>
                <c:pt idx="180">
                  <c:v>69.0402313246022</c:v>
                </c:pt>
                <c:pt idx="181">
                  <c:v>69.4723315003674</c:v>
                </c:pt>
                <c:pt idx="182">
                  <c:v>69.8984970497792</c:v>
                </c:pt>
                <c:pt idx="183">
                  <c:v>70.318682286758</c:v>
                </c:pt>
                <c:pt idx="184">
                  <c:v>70.7328508778796</c:v>
                </c:pt>
                <c:pt idx="185">
                  <c:v>71.1409754351789</c:v>
                </c:pt>
                <c:pt idx="186">
                  <c:v>71.5430371057709</c:v>
                </c:pt>
                <c:pt idx="187">
                  <c:v>71.9390251603337</c:v>
                </c:pt>
                <c:pt idx="188">
                  <c:v>72.3289365823394</c:v>
                </c:pt>
                <c:pt idx="189">
                  <c:v>72.7127756597489</c:v>
                </c:pt>
                <c:pt idx="190">
                  <c:v>73.0905535807058</c:v>
                </c:pt>
                <c:pt idx="191">
                  <c:v>73.4622880346184</c:v>
                </c:pt>
                <c:pt idx="192">
                  <c:v>73.8280028198411</c:v>
                </c:pt>
                <c:pt idx="193">
                  <c:v>74.1877274590197</c:v>
                </c:pt>
                <c:pt idx="194">
                  <c:v>74.5414968230169</c:v>
                </c:pt>
                <c:pt idx="195">
                  <c:v>74.8893507641889</c:v>
                </c:pt>
                <c:pt idx="196">
                  <c:v>75.2313337596551</c:v>
                </c:pt>
                <c:pt idx="197">
                  <c:v>75.567494565077</c:v>
                </c:pt>
                <c:pt idx="198">
                  <c:v>75.8978858793399</c:v>
                </c:pt>
                <c:pt idx="199">
                  <c:v>76.2225640204376</c:v>
                </c:pt>
                <c:pt idx="200">
                  <c:v>76.5415886127389</c:v>
                </c:pt>
                <c:pt idx="201">
                  <c:v>76.8550222857473</c:v>
                </c:pt>
                <c:pt idx="202">
                  <c:v>77.1629303843631</c:v>
                </c:pt>
                <c:pt idx="203">
                  <c:v>77.4653806905935</c:v>
                </c:pt>
                <c:pt idx="204">
                  <c:v>77.7624431565826</c:v>
                </c:pt>
                <c:pt idx="205">
                  <c:v>78.0541896487768</c:v>
                </c:pt>
                <c:pt idx="206">
                  <c:v>78.3406937029853</c:v>
                </c:pt>
                <c:pt idx="207">
                  <c:v>78.6220302900478</c:v>
                </c:pt>
                <c:pt idx="208">
                  <c:v>78.8982755917837</c:v>
                </c:pt>
                <c:pt idx="209">
                  <c:v>79.1695067868549</c:v>
                </c:pt>
                <c:pt idx="210">
                  <c:v>79.4358018461525</c:v>
                </c:pt>
                <c:pt idx="211">
                  <c:v>79.6972393372852</c:v>
                </c:pt>
                <c:pt idx="212">
                  <c:v>79.9538982377242</c:v>
                </c:pt>
                <c:pt idx="213">
                  <c:v>80.205857756153</c:v>
                </c:pt>
                <c:pt idx="214">
                  <c:v>80.4531971615397</c:v>
                </c:pt>
                <c:pt idx="215">
                  <c:v>80.6959956194553</c:v>
                </c:pt>
                <c:pt idx="216">
                  <c:v>80.9343320351382</c:v>
                </c:pt>
                <c:pt idx="217">
                  <c:v>81.1682849028134</c:v>
                </c:pt>
                <c:pt idx="218">
                  <c:v>81.3979321607606</c:v>
                </c:pt>
                <c:pt idx="219">
                  <c:v>81.6233510516322</c:v>
                </c:pt>
                <c:pt idx="220">
                  <c:v>81.8446179875169</c:v>
                </c:pt>
                <c:pt idx="221">
                  <c:v>82.0618084192537</c:v>
                </c:pt>
                <c:pt idx="222">
                  <c:v>82.274996709497</c:v>
                </c:pt>
                <c:pt idx="223">
                  <c:v>82.4842560090492</c:v>
                </c:pt>
                <c:pt idx="224">
                  <c:v>82.6896581359704</c:v>
                </c:pt>
                <c:pt idx="225">
                  <c:v>82.8912734569984</c:v>
                </c:pt>
                <c:pt idx="226">
                  <c:v>83.0891707708092</c:v>
                </c:pt>
                <c:pt idx="227">
                  <c:v>83.2834171926603</c:v>
                </c:pt>
                <c:pt idx="228">
                  <c:v>83.474078039981</c:v>
                </c:pt>
                <c:pt idx="229">
                  <c:v>83.6612167184683</c:v>
                </c:pt>
                <c:pt idx="230">
                  <c:v>83.8448946082797</c:v>
                </c:pt>
                <c:pt idx="231">
                  <c:v>84.0251709499162</c:v>
                </c:pt>
                <c:pt idx="232">
                  <c:v>84.2021027294098</c:v>
                </c:pt>
                <c:pt idx="233">
                  <c:v>84.3757445624535</c:v>
                </c:pt>
                <c:pt idx="234">
                  <c:v>84.5461485771189</c:v>
                </c:pt>
                <c:pt idx="235">
                  <c:v>84.7133642948434</c:v>
                </c:pt>
                <c:pt idx="236">
                  <c:v>84.8774385093819</c:v>
                </c:pt>
                <c:pt idx="237">
                  <c:v>85.0384151634476</c:v>
                </c:pt>
                <c:pt idx="238">
                  <c:v>85.1963352227977</c:v>
                </c:pt>
                <c:pt idx="239">
                  <c:v>85.3512365475485</c:v>
                </c:pt>
                <c:pt idx="240">
                  <c:v>85.503153760537</c:v>
                </c:pt>
                <c:pt idx="241">
                  <c:v>85.6521181125914</c:v>
                </c:pt>
                <c:pt idx="242">
                  <c:v>85.7981573446028</c:v>
                </c:pt>
                <c:pt idx="243">
                  <c:v>85.9412955463478</c:v>
                </c:pt>
                <c:pt idx="244">
                  <c:v>86.0815530120486</c:v>
                </c:pt>
                <c:pt idx="245">
                  <c:v>86.2189460927226</c:v>
                </c:pt>
                <c:pt idx="246">
                  <c:v>86.3534870454182</c:v>
                </c:pt>
                <c:pt idx="247">
                  <c:v>86.485183879509</c:v>
                </c:pt>
                <c:pt idx="248">
                  <c:v>86.6140402002753</c:v>
                </c:pt>
                <c:pt idx="249">
                  <c:v>86.740055050081</c:v>
                </c:pt>
                <c:pt idx="250">
                  <c:v>86.8632227475265</c:v>
                </c:pt>
                <c:pt idx="251">
                  <c:v>86.9835327250447</c:v>
                </c:pt>
                <c:pt idx="252">
                  <c:v>87.100969365492</c:v>
                </c:pt>
                <c:pt idx="253">
                  <c:v>87.2155118383786</c:v>
                </c:pt>
                <c:pt idx="254">
                  <c:v>87.3271339364781</c:v>
                </c:pt>
                <c:pt idx="255">
                  <c:v>87.4358039136636</c:v>
                </c:pt>
                <c:pt idx="256">
                  <c:v>87.5414843249092</c:v>
                </c:pt>
                <c:pt idx="257">
                  <c:v>87.6441318695201</c:v>
                </c:pt>
                <c:pt idx="258">
                  <c:v>87.743697238748</c:v>
                </c:pt>
                <c:pt idx="259">
                  <c:v>87.8401249690708</c:v>
                </c:pt>
                <c:pt idx="260">
                  <c:v>87.9333533025218</c:v>
                </c:pt>
                <c:pt idx="261">
                  <c:v>88.0233140555636</c:v>
                </c:pt>
                <c:pt idx="262">
                  <c:v>88.1099324981083</c:v>
                </c:pt>
                <c:pt idx="263">
                  <c:v>88.1931272443913</c:v>
                </c:pt>
                <c:pt idx="264">
                  <c:v>88.2728101574938</c:v>
                </c:pt>
                <c:pt idx="265">
                  <c:v>88.3488862694053</c:v>
                </c:pt>
                <c:pt idx="266">
                  <c:v>88.4212537185832</c:v>
                </c:pt>
                <c:pt idx="267">
                  <c:v>88.489803707038</c:v>
                </c:pt>
                <c:pt idx="268">
                  <c:v>88.5544204790097</c:v>
                </c:pt>
                <c:pt idx="269">
                  <c:v>88.6149813233321</c:v>
                </c:pt>
                <c:pt idx="270">
                  <c:v>88.6713566015867</c:v>
                </c:pt>
                <c:pt idx="271">
                  <c:v>88.7234098041269</c:v>
                </c:pt>
                <c:pt idx="272">
                  <c:v>88.7709976360018</c:v>
                </c:pt>
                <c:pt idx="273">
                  <c:v>88.8139701347425</c:v>
                </c:pt>
                <c:pt idx="274">
                  <c:v>88.8521708218499</c:v>
                </c:pt>
                <c:pt idx="275">
                  <c:v>88.8854368896895</c:v>
                </c:pt>
                <c:pt idx="276">
                  <c:v>88.9135994253135</c:v>
                </c:pt>
                <c:pt idx="277">
                  <c:v>88.9364836725118</c:v>
                </c:pt>
                <c:pt idx="278">
                  <c:v>88.953909333134</c:v>
                </c:pt>
                <c:pt idx="279">
                  <c:v>88.9656909084397</c:v>
                </c:pt>
                <c:pt idx="280">
                  <c:v>88.9716380808817</c:v>
                </c:pt>
                <c:pt idx="281">
                  <c:v>88.971556136379</c:v>
                </c:pt>
                <c:pt idx="282">
                  <c:v>88.9652464267155</c:v>
                </c:pt>
                <c:pt idx="283">
                  <c:v>88.9525068712751</c:v>
                </c:pt>
                <c:pt idx="284">
                  <c:v>88.9331324968602</c:v>
                </c:pt>
                <c:pt idx="285">
                  <c:v>88.90691601386</c:v>
                </c:pt>
                <c:pt idx="286">
                  <c:v>88.8736484265404</c:v>
                </c:pt>
                <c:pt idx="287">
                  <c:v>88.8331196747219</c:v>
                </c:pt>
                <c:pt idx="288">
                  <c:v>88.7851193036143</c:v>
                </c:pt>
                <c:pt idx="289">
                  <c:v>88.7294371580739</c:v>
                </c:pt>
                <c:pt idx="290">
                  <c:v>88.6658640970971</c:v>
                </c:pt>
                <c:pt idx="291">
                  <c:v>88.5941927238928</c:v>
                </c:pt>
                <c:pt idx="292">
                  <c:v>88.5142181264945</c:v>
                </c:pt>
                <c:pt idx="293">
                  <c:v>88.4257386235061</c:v>
                </c:pt>
                <c:pt idx="294">
                  <c:v>88.3285565092774</c:v>
                </c:pt>
                <c:pt idx="295">
                  <c:v>88.2224787925809</c:v>
                </c:pt>
                <c:pt idx="296">
                  <c:v>88.1073179227061</c:v>
                </c:pt>
                <c:pt idx="297">
                  <c:v>87.9828924968117</c:v>
                </c:pt>
                <c:pt idx="298">
                  <c:v>87.8490279424044</c:v>
                </c:pt>
                <c:pt idx="299">
                  <c:v>87.7055571689135</c:v>
                </c:pt>
                <c:pt idx="300">
                  <c:v>87.552321182537</c:v>
                </c:pt>
                <c:pt idx="301">
                  <c:v>87.3891696588433</c:v>
                </c:pt>
                <c:pt idx="302">
                  <c:v>87.2159614679952</c:v>
                </c:pt>
                <c:pt idx="303">
                  <c:v>87.032565147949</c:v>
                </c:pt>
                <c:pt idx="304">
                  <c:v>86.8388593215496</c:v>
                </c:pt>
                <c:pt idx="305">
                  <c:v>86.6347330540777</c:v>
                </c:pt>
                <c:pt idx="306">
                  <c:v>86.4200861485138</c:v>
                </c:pt>
                <c:pt idx="307">
                  <c:v>86.1948293765405</c:v>
                </c:pt>
                <c:pt idx="308">
                  <c:v>85.9588846441009</c:v>
                </c:pt>
                <c:pt idx="309">
                  <c:v>85.7121850911632</c:v>
                </c:pt>
                <c:pt idx="310">
                  <c:v>85.4546751261658</c:v>
                </c:pt>
                <c:pt idx="311">
                  <c:v>85.1863103964672</c:v>
                </c:pt>
                <c:pt idx="312">
                  <c:v>84.907057696916</c:v>
                </c:pt>
                <c:pt idx="313">
                  <c:v>84.616894819462</c:v>
                </c:pt>
                <c:pt idx="314">
                  <c:v>84.3158103474405</c:v>
                </c:pt>
                <c:pt idx="315">
                  <c:v>84.0038033988473</c:v>
                </c:pt>
                <c:pt idx="316">
                  <c:v>83.6808833235194</c:v>
                </c:pt>
                <c:pt idx="317">
                  <c:v>83.3470693596508</c:v>
                </c:pt>
                <c:pt idx="318">
                  <c:v>83.0023902555157</c:v>
                </c:pt>
                <c:pt idx="319">
                  <c:v>82.6468838625884</c:v>
                </c:pt>
                <c:pt idx="320">
                  <c:v>82.2805967064995</c:v>
                </c:pt>
                <c:pt idx="321">
                  <c:v>81.9035835424033</c:v>
                </c:pt>
                <c:pt idx="322">
                  <c:v>81.5159069013514</c:v>
                </c:pt>
                <c:pt idx="323">
                  <c:v>81.1176366342275</c:v>
                </c:pt>
                <c:pt idx="324">
                  <c:v>80.7088494596232</c:v>
                </c:pt>
                <c:pt idx="325">
                  <c:v>80.2896285217951</c:v>
                </c:pt>
                <c:pt idx="326">
                  <c:v>79.8600629645333</c:v>
                </c:pt>
                <c:pt idx="327">
                  <c:v>79.4202475263413</c:v>
                </c:pt>
                <c:pt idx="328">
                  <c:v>78.9702821618973</c:v>
                </c:pt>
                <c:pt idx="329">
                  <c:v>78.5102716942271</c:v>
                </c:pt>
                <c:pt idx="330">
                  <c:v>78.0403255014708</c:v>
                </c:pt>
                <c:pt idx="331">
                  <c:v>77.5605572415125</c:v>
                </c:pt>
                <c:pt idx="332">
                  <c:v>77.0710846171451</c:v>
                </c:pt>
                <c:pt idx="333">
                  <c:v>76.5720291837715</c:v>
                </c:pt>
                <c:pt idx="334">
                  <c:v>76.0635162010372</c:v>
                </c:pt>
                <c:pt idx="335">
                  <c:v>75.5456745291087</c:v>
                </c:pt>
                <c:pt idx="336">
                  <c:v>75.0186365697128</c:v>
                </c:pt>
                <c:pt idx="337">
                  <c:v>74.4825382514064</c:v>
                </c:pt>
                <c:pt idx="338">
                  <c:v>73.9375190579739</c:v>
                </c:pt>
                <c:pt idx="339">
                  <c:v>73.3837220982686</c:v>
                </c:pt>
                <c:pt idx="340">
                  <c:v>72.8212942152846</c:v>
                </c:pt>
                <c:pt idx="341">
                  <c:v>72.2503861317456</c:v>
                </c:pt>
                <c:pt idx="342">
                  <c:v>71.6711526290379</c:v>
                </c:pt>
                <c:pt idx="343">
                  <c:v>71.0837527558987</c:v>
                </c:pt>
                <c:pt idx="344">
                  <c:v>70.4883500628924</c:v>
                </c:pt>
                <c:pt idx="345">
                  <c:v>69.8851128583837</c:v>
                </c:pt>
                <c:pt idx="346">
                  <c:v>69.2742144814334</c:v>
                </c:pt>
                <c:pt idx="347">
                  <c:v>68.6558335868136</c:v>
                </c:pt>
                <c:pt idx="348">
                  <c:v>68.0301544371489</c:v>
                </c:pt>
                <c:pt idx="349">
                  <c:v>67.3973671970643</c:v>
                </c:pt>
                <c:pt idx="350">
                  <c:v>66.7576682241308</c:v>
                </c:pt>
                <c:pt idx="351">
                  <c:v>66.1112603513781</c:v>
                </c:pt>
                <c:pt idx="352">
                  <c:v>65.4583531561467</c:v>
                </c:pt>
                <c:pt idx="353">
                  <c:v>64.7991632101492</c:v>
                </c:pt>
                <c:pt idx="354">
                  <c:v>64.1339143057012</c:v>
                </c:pt>
                <c:pt idx="355">
                  <c:v>63.462837653294</c:v>
                </c:pt>
                <c:pt idx="356">
                  <c:v>62.7861720458745</c:v>
                </c:pt>
                <c:pt idx="357">
                  <c:v>62.1041639854991</c:v>
                </c:pt>
                <c:pt idx="358">
                  <c:v>61.4170677683428</c:v>
                </c:pt>
                <c:pt idx="359">
                  <c:v>60.725145524421</c:v>
                </c:pt>
                <c:pt idx="360">
                  <c:v>60.0286672088033</c:v>
                </c:pt>
                <c:pt idx="361">
                  <c:v>59.3279105415571</c:v>
                </c:pt>
                <c:pt idx="362">
                  <c:v>58.6231608941596</c:v>
                </c:pt>
                <c:pt idx="363">
                  <c:v>57.9147111206564</c:v>
                </c:pt>
                <c:pt idx="364">
                  <c:v>57.2028613323999</c:v>
                </c:pt>
                <c:pt idx="365">
                  <c:v>56.4879186157977</c:v>
                </c:pt>
                <c:pt idx="366">
                  <c:v>55.7701966931008</c:v>
                </c:pt>
                <c:pt idx="367">
                  <c:v>55.050015526877</c:v>
                </c:pt>
                <c:pt idx="368">
                  <c:v>54.3277008694365</c:v>
                </c:pt>
                <c:pt idx="369">
                  <c:v>53.6035837590803</c:v>
                </c:pt>
                <c:pt idx="370">
                  <c:v>52.8779999656512</c:v>
                </c:pt>
                <c:pt idx="371">
                  <c:v>52.151289388432</c:v>
                </c:pt>
                <c:pt idx="372">
                  <c:v>51.4237954099897</c:v>
                </c:pt>
                <c:pt idx="373">
                  <c:v>50.6958642100628</c:v>
                </c:pt>
                <c:pt idx="374">
                  <c:v>49.9678440440546</c:v>
                </c:pt>
                <c:pt idx="375">
                  <c:v>49.240084491098</c:v>
                </c:pt>
                <c:pt idx="376">
                  <c:v>48.5129356770034</c:v>
                </c:pt>
                <c:pt idx="377">
                  <c:v>47.7867474776767</c:v>
                </c:pt>
                <c:pt idx="378">
                  <c:v>47.0618687088184</c:v>
                </c:pt>
                <c:pt idx="379">
                  <c:v>46.3386463078271</c:v>
                </c:pt>
                <c:pt idx="380">
                  <c:v>45.6174245139258</c:v>
                </c:pt>
                <c:pt idx="381">
                  <c:v>44.8985440524794</c:v>
                </c:pt>
                <c:pt idx="382">
                  <c:v>44.1823413294201</c:v>
                </c:pt>
                <c:pt idx="383">
                  <c:v>43.4691476415113</c:v>
                </c:pt>
                <c:pt idx="384">
                  <c:v>42.7592884079675</c:v>
                </c:pt>
                <c:pt idx="385">
                  <c:v>42.0530824286555</c:v>
                </c:pt>
                <c:pt idx="386">
                  <c:v>41.3508411737486</c:v>
                </c:pt>
                <c:pt idx="387">
                  <c:v>40.6528681093112</c:v>
                </c:pt>
                <c:pt idx="388">
                  <c:v>39.9594580628495</c:v>
                </c:pt>
                <c:pt idx="389">
                  <c:v>39.2708966323799</c:v>
                </c:pt>
                <c:pt idx="390">
                  <c:v>38.587459642075</c:v>
                </c:pt>
                <c:pt idx="391">
                  <c:v>37.9094126470079</c:v>
                </c:pt>
                <c:pt idx="392">
                  <c:v>37.2370104890031</c:v>
                </c:pt>
                <c:pt idx="393">
                  <c:v>36.5704969050522</c:v>
                </c:pt>
                <c:pt idx="394">
                  <c:v>35.9101041892371</c:v>
                </c:pt>
                <c:pt idx="395">
                  <c:v>35.2560529085859</c:v>
                </c:pt>
                <c:pt idx="396">
                  <c:v>34.6085516727989</c:v>
                </c:pt>
                <c:pt idx="397">
                  <c:v>33.9677969573109</c:v>
                </c:pt>
                <c:pt idx="398">
                  <c:v>33.3339729787297</c:v>
                </c:pt>
                <c:pt idx="399">
                  <c:v>32.7072516212892</c:v>
                </c:pt>
                <c:pt idx="400">
                  <c:v>32.0877924125928</c:v>
                </c:pt>
                <c:pt idx="401">
                  <c:v>31.4757425466138</c:v>
                </c:pt>
                <c:pt idx="402">
                  <c:v>30.8712369516408</c:v>
                </c:pt>
                <c:pt idx="403">
                  <c:v>30.2743984006197</c:v>
                </c:pt>
                <c:pt idx="404">
                  <c:v>29.6853376611598</c:v>
                </c:pt>
                <c:pt idx="405">
                  <c:v>29.1041536823333</c:v>
                </c:pt>
                <c:pt idx="406">
                  <c:v>28.5309338152721</c:v>
                </c:pt>
                <c:pt idx="407">
                  <c:v>27.9657540645203</c:v>
                </c:pt>
                <c:pt idx="408">
                  <c:v>27.4086793670565</c:v>
                </c:pt>
                <c:pt idx="409">
                  <c:v>26.8597638959076</c:v>
                </c:pt>
                <c:pt idx="410">
                  <c:v>26.3190513853094</c:v>
                </c:pt>
                <c:pt idx="411">
                  <c:v>25.7865754744297</c:v>
                </c:pt>
                <c:pt idx="412">
                  <c:v>25.2623600667504</c:v>
                </c:pt>
                <c:pt idx="413">
                  <c:v>24.746419702316</c:v>
                </c:pt>
                <c:pt idx="414">
                  <c:v>24.2387599401741</c:v>
                </c:pt>
                <c:pt idx="415">
                  <c:v>23.7393777484667</c:v>
                </c:pt>
                <c:pt idx="416">
                  <c:v>23.248261899787</c:v>
                </c:pt>
                <c:pt idx="417">
                  <c:v>22.7653933695633</c:v>
                </c:pt>
                <c:pt idx="418">
                  <c:v>22.2907457353961</c:v>
                </c:pt>
                <c:pt idx="419">
                  <c:v>21.8242855754404</c:v>
                </c:pt>
                <c:pt idx="420">
                  <c:v>21.3659728640868</c:v>
                </c:pt>
                <c:pt idx="421">
                  <c:v>20.9157613633599</c:v>
                </c:pt>
                <c:pt idx="422">
                  <c:v>20.4735990086172</c:v>
                </c:pt>
                <c:pt idx="423">
                  <c:v>20.0394282872863</c:v>
                </c:pt>
                <c:pt idx="424">
                  <c:v>19.6131866095283</c:v>
                </c:pt>
                <c:pt idx="425">
                  <c:v>19.1948066698668</c:v>
                </c:pt>
                <c:pt idx="426">
                  <c:v>18.7842167989573</c:v>
                </c:pt>
                <c:pt idx="427">
                  <c:v>18.381341304802</c:v>
                </c:pt>
                <c:pt idx="428">
                  <c:v>17.9861008028406</c:v>
                </c:pt>
                <c:pt idx="429">
                  <c:v>17.5984125344603</c:v>
                </c:pt>
                <c:pt idx="430">
                  <c:v>17.218190673577</c:v>
                </c:pt>
                <c:pt idx="431">
                  <c:v>16.8453466210329</c:v>
                </c:pt>
                <c:pt idx="432">
                  <c:v>16.4797892866518</c:v>
                </c:pt>
                <c:pt idx="433">
                  <c:v>16.1214253588646</c:v>
                </c:pt>
                <c:pt idx="434">
                  <c:v>15.7701595619019</c:v>
                </c:pt>
                <c:pt idx="435">
                  <c:v>15.4258949006061</c:v>
                </c:pt>
                <c:pt idx="436">
                  <c:v>15.088532892979</c:v>
                </c:pt>
                <c:pt idx="437">
                  <c:v>14.7579737906277</c:v>
                </c:pt>
                <c:pt idx="438">
                  <c:v>14.4341167873222</c:v>
                </c:pt>
                <c:pt idx="439">
                  <c:v>14.116860215906</c:v>
                </c:pt>
                <c:pt idx="440">
                  <c:v>13.8061017338463</c:v>
                </c:pt>
                <c:pt idx="441">
                  <c:v>13.5017384977242</c:v>
                </c:pt>
                <c:pt idx="442">
                  <c:v>13.2036673269993</c:v>
                </c:pt>
                <c:pt idx="443">
                  <c:v>12.91178485739</c:v>
                </c:pt>
                <c:pt idx="444">
                  <c:v>12.6259876842371</c:v>
                </c:pt>
                <c:pt idx="445">
                  <c:v>12.3461724962127</c:v>
                </c:pt>
                <c:pt idx="446">
                  <c:v>12.0722361997596</c:v>
                </c:pt>
                <c:pt idx="447">
                  <c:v>11.8040760346366</c:v>
                </c:pt>
                <c:pt idx="448">
                  <c:v>11.5415896809563</c:v>
                </c:pt>
                <c:pt idx="449">
                  <c:v>11.2846753580924</c:v>
                </c:pt>
                <c:pt idx="450">
                  <c:v>11.0332319158398</c:v>
                </c:pt>
                <c:pt idx="451">
                  <c:v>10.7871589181953</c:v>
                </c:pt>
                <c:pt idx="452">
                  <c:v>10.5463567201322</c:v>
                </c:pt>
                <c:pt idx="453">
                  <c:v>10.3107265377225</c:v>
                </c:pt>
                <c:pt idx="454">
                  <c:v>10.0801705119617</c:v>
                </c:pt>
                <c:pt idx="455">
                  <c:v>9.85459176663676</c:v>
                </c:pt>
                <c:pt idx="456">
                  <c:v>9.63389446056791</c:v>
                </c:pt>
                <c:pt idx="457">
                  <c:v>9.41798383454569</c:v>
                </c:pt>
                <c:pt idx="458">
                  <c:v>9.20676625327183</c:v>
                </c:pt>
                <c:pt idx="459">
                  <c:v>9.00014924260391</c:v>
                </c:pt>
                <c:pt idx="460">
                  <c:v>8.79804152238815</c:v>
                </c:pt>
                <c:pt idx="461">
                  <c:v>8.60035303515683</c:v>
                </c:pt>
                <c:pt idx="462">
                  <c:v>8.40699497095162</c:v>
                </c:pt>
                <c:pt idx="463">
                  <c:v>8.21787978852682</c:v>
                </c:pt>
                <c:pt idx="464">
                  <c:v>8.03292123316946</c:v>
                </c:pt>
                <c:pt idx="465">
                  <c:v>7.85203435136713</c:v>
                </c:pt>
                <c:pt idx="466">
                  <c:v>7.67513550253909</c:v>
                </c:pt>
                <c:pt idx="467">
                  <c:v>7.50214236803911</c:v>
                </c:pt>
                <c:pt idx="468">
                  <c:v>7.33297395762362</c:v>
                </c:pt>
                <c:pt idx="469">
                  <c:v>7.1675506135728</c:v>
                </c:pt>
                <c:pt idx="470">
                  <c:v>7.00579401263875</c:v>
                </c:pt>
                <c:pt idx="471">
                  <c:v>6.84762716598737</c:v>
                </c:pt>
                <c:pt idx="472">
                  <c:v>6.69297441729058</c:v>
                </c:pt>
                <c:pt idx="473">
                  <c:v>6.54176143911609</c:v>
                </c:pt>
                <c:pt idx="474">
                  <c:v>6.39391522775463</c:v>
                </c:pt>
                <c:pt idx="475">
                  <c:v>6.24936409661462</c:v>
                </c:pt>
                <c:pt idx="476">
                  <c:v>6.10803766830848</c:v>
                </c:pt>
                <c:pt idx="477">
                  <c:v>5.969866865545</c:v>
                </c:pt>
                <c:pt idx="478">
                  <c:v>5.83478390093705</c:v>
                </c:pt>
                <c:pt idx="479">
                  <c:v>5.70272226582557</c:v>
                </c:pt>
                <c:pt idx="480">
                  <c:v>5.57361671821556</c:v>
                </c:pt>
                <c:pt idx="481">
                  <c:v>5.44740326991275</c:v>
                </c:pt>
                <c:pt idx="482">
                  <c:v>5.32401917294384</c:v>
                </c:pt>
                <c:pt idx="483">
                  <c:v>5.20340290533857</c:v>
                </c:pt>
                <c:pt idx="484">
                  <c:v>5.08549415634537</c:v>
                </c:pt>
                <c:pt idx="485">
                  <c:v>4.97023381114865</c:v>
                </c:pt>
                <c:pt idx="486">
                  <c:v>4.85756393514977</c:v>
                </c:pt>
                <c:pt idx="487">
                  <c:v>4.74742775787071</c:v>
                </c:pt>
                <c:pt idx="488">
                  <c:v>4.63976965653445</c:v>
                </c:pt>
                <c:pt idx="489">
                  <c:v>4.53453513937227</c:v>
                </c:pt>
                <c:pt idx="490">
                  <c:v>4.43167082870461</c:v>
                </c:pt>
                <c:pt idx="491">
                  <c:v>4.3311244438387</c:v>
                </c:pt>
                <c:pt idx="492">
                  <c:v>4.23284478382286</c:v>
                </c:pt>
                <c:pt idx="493">
                  <c:v>4.13678171009432</c:v>
                </c:pt>
                <c:pt idx="494">
                  <c:v>4.04288612905445</c:v>
                </c:pt>
                <c:pt idx="495">
                  <c:v>3.95110997460262</c:v>
                </c:pt>
                <c:pt idx="496">
                  <c:v>3.86140619065784</c:v>
                </c:pt>
                <c:pt idx="497">
                  <c:v>3.7737287136939</c:v>
                </c:pt>
                <c:pt idx="498">
                  <c:v>3.68803245531288</c:v>
                </c:pt>
                <c:pt idx="499">
                  <c:v>3.60427328487874</c:v>
                </c:pt>
                <c:pt idx="500">
                  <c:v>3.52240801223133</c:v>
                </c:pt>
                <c:pt idx="501">
                  <c:v>3.442394370499</c:v>
                </c:pt>
                <c:pt idx="502">
                  <c:v>3.3641909990269</c:v>
                </c:pt>
                <c:pt idx="503">
                  <c:v>3.28775742643592</c:v>
                </c:pt>
                <c:pt idx="504">
                  <c:v>3.21305405382557</c:v>
                </c:pt>
                <c:pt idx="505">
                  <c:v>3.14004213813384</c:v>
                </c:pt>
                <c:pt idx="506">
                  <c:v>3.0686837756646</c:v>
                </c:pt>
                <c:pt idx="507">
                  <c:v>2.99894188579238</c:v>
                </c:pt>
                <c:pt idx="508">
                  <c:v>2.93078019485361</c:v>
                </c:pt>
                <c:pt idx="509">
                  <c:v>2.86416322023172</c:v>
                </c:pt>
                <c:pt idx="510">
                  <c:v>2.79905625464337</c:v>
                </c:pt>
                <c:pt idx="511">
                  <c:v>2.73542535063128</c:v>
                </c:pt>
                <c:pt idx="512">
                  <c:v>2.67323730526907</c:v>
                </c:pt>
                <c:pt idx="513">
                  <c:v>2.61245964508241</c:v>
                </c:pt>
                <c:pt idx="514">
                  <c:v>2.55306061119021</c:v>
                </c:pt>
                <c:pt idx="515">
                  <c:v>2.49500914466891</c:v>
                </c:pt>
                <c:pt idx="516">
                  <c:v>2.43827487214222</c:v>
                </c:pt>
                <c:pt idx="517">
                  <c:v>2.38282809159834</c:v>
                </c:pt>
                <c:pt idx="518">
                  <c:v>2.32863975843612</c:v>
                </c:pt>
                <c:pt idx="519">
                  <c:v>2.27568147174101</c:v>
                </c:pt>
                <c:pt idx="520">
                  <c:v>2.22392546079127</c:v>
                </c:pt>
                <c:pt idx="521">
                  <c:v>2.17334457179487</c:v>
                </c:pt>
                <c:pt idx="522">
                  <c:v>2.12391225485659</c:v>
                </c:pt>
                <c:pt idx="523">
                  <c:v>2.07560255117499</c:v>
                </c:pt>
                <c:pt idx="524">
                  <c:v>2.02839008046817</c:v>
                </c:pt>
                <c:pt idx="525">
                  <c:v>1.98225002862749</c:v>
                </c:pt>
                <c:pt idx="526">
                  <c:v>1.93715813559798</c:v>
                </c:pt>
                <c:pt idx="527">
                  <c:v>1.89309068348342</c:v>
                </c:pt>
                <c:pt idx="528">
                  <c:v>1.85002448487478</c:v>
                </c:pt>
                <c:pt idx="529">
                  <c:v>1.80793687139989</c:v>
                </c:pt>
                <c:pt idx="530">
                  <c:v>1.76680568249238</c:v>
                </c:pt>
                <c:pt idx="531">
                  <c:v>1.7266092543773</c:v>
                </c:pt>
                <c:pt idx="532">
                  <c:v>1.68732640927161</c:v>
                </c:pt>
                <c:pt idx="533">
                  <c:v>1.64893644479635</c:v>
                </c:pt>
                <c:pt idx="534">
                  <c:v>1.6114191235986</c:v>
                </c:pt>
                <c:pt idx="535">
                  <c:v>1.57475466317998</c:v>
                </c:pt>
                <c:pt idx="536">
                  <c:v>1.5389237259294</c:v>
                </c:pt>
                <c:pt idx="537">
                  <c:v>1.50390740935675</c:v>
                </c:pt>
                <c:pt idx="538">
                  <c:v>1.46968723652517</c:v>
                </c:pt>
                <c:pt idx="539">
                  <c:v>1.43624514667854</c:v>
                </c:pt>
                <c:pt idx="540">
                  <c:v>1.40356348606149</c:v>
                </c:pt>
                <c:pt idx="541">
                  <c:v>1.37162499892891</c:v>
                </c:pt>
              </c:numCache>
            </c:numRef>
          </c:yVal>
          <c:smooth val="1"/>
        </c:ser>
        <c:dLbls>
          <c:showLegendKey val="0"/>
          <c:showVal val="0"/>
          <c:showCatName val="0"/>
          <c:showSerName val="0"/>
          <c:showPercent val="0"/>
          <c:showBubbleSize val="0"/>
        </c:dLbls>
        <c:axId val="178915200"/>
        <c:axId val="178913664"/>
      </c:scatterChart>
      <c:valAx>
        <c:axId val="17890137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03296"/>
        <c:crosses val="autoZero"/>
        <c:crossBetween val="midCat"/>
      </c:valAx>
      <c:valAx>
        <c:axId val="17890329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8901376"/>
        <c:crosses val="autoZero"/>
        <c:crossBetween val="midCat"/>
        <c:majorUnit val="20"/>
        <c:minorUnit val="10"/>
      </c:valAx>
      <c:valAx>
        <c:axId val="178915200"/>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13664"/>
        <c:crosses val="autoZero"/>
        <c:crossBetween val="midCat"/>
      </c:valAx>
      <c:valAx>
        <c:axId val="178913664"/>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8915200"/>
        <c:crosses val="max"/>
        <c:crossBetween val="midCat"/>
        <c:majorUnit val="90"/>
        <c:minorUnit val="45"/>
      </c:valAx>
    </c:plotArea>
    <c:plotVisOnly val="1"/>
    <c:dispBlanksAs val="gap"/>
    <c:showDLblsOverMax val="0"/>
    <c:extLst>
      <c:ext uri="{0b15fc19-7d7d-44ad-8c2d-2c3a37ce22c3}">
        <chartProps xmlns="https://web.wps.cn/et/2018/main" chartId="{b4989062-e712-4921-b8f5-b113f4e82bf7}"/>
      </c:ext>
    </c:extLst>
  </c:chart>
  <c:txPr>
    <a:bodyPr/>
    <a:lstStyle/>
    <a:p>
      <a:pPr>
        <a:defRPr lang="pl-PL"/>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Total Control Loop Transfer Function</a:t>
            </a:r>
            <a:endParaRPr lang="en-US" baseline="0"/>
          </a:p>
        </c:rich>
      </c:tx>
      <c:layout/>
      <c:overlay val="0"/>
    </c:title>
    <c:autoTitleDeleted val="0"/>
    <c:plotArea>
      <c:layout/>
      <c:scatterChart>
        <c:scatterStyle val="smooth"/>
        <c:varyColors val="0"/>
        <c:ser>
          <c:idx val="0"/>
          <c:order val="0"/>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Loop_Modeling!$BL$19:$BL$560</c:f>
              <c:numCache>
                <c:formatCode>General</c:formatCode>
                <c:ptCount val="542"/>
                <c:pt idx="0">
                  <c:v>54.524655454484</c:v>
                </c:pt>
                <c:pt idx="1">
                  <c:v>54.2976400827842</c:v>
                </c:pt>
                <c:pt idx="2">
                  <c:v>54.0695338638402</c:v>
                </c:pt>
                <c:pt idx="3">
                  <c:v>53.8403003831665</c:v>
                </c:pt>
                <c:pt idx="4">
                  <c:v>53.6099026311662</c:v>
                </c:pt>
                <c:pt idx="5">
                  <c:v>53.3783030450287</c:v>
                </c:pt>
                <c:pt idx="6">
                  <c:v>53.1454635553076</c:v>
                </c:pt>
                <c:pt idx="7">
                  <c:v>52.9113456373044</c:v>
                </c:pt>
                <c:pt idx="8">
                  <c:v>52.6759103673579</c:v>
                </c:pt>
                <c:pt idx="9">
                  <c:v>52.4391184841172</c:v>
                </c:pt>
                <c:pt idx="10">
                  <c:v>52.200930454837</c:v>
                </c:pt>
                <c:pt idx="11">
                  <c:v>51.96130654671</c:v>
                </c:pt>
                <c:pt idx="12">
                  <c:v>51.720206903208</c:v>
                </c:pt>
                <c:pt idx="13">
                  <c:v>51.4775916253608</c:v>
                </c:pt>
                <c:pt idx="14">
                  <c:v>51.2334208578681</c:v>
                </c:pt>
                <c:pt idx="15">
                  <c:v>50.9876548798796</c:v>
                </c:pt>
                <c:pt idx="16">
                  <c:v>50.740254200245</c:v>
                </c:pt>
                <c:pt idx="17">
                  <c:v>50.4911796569718</c:v>
                </c:pt>
                <c:pt idx="18">
                  <c:v>50.2403925205856</c:v>
                </c:pt>
                <c:pt idx="19">
                  <c:v>49.9878546010317</c:v>
                </c:pt>
                <c:pt idx="20">
                  <c:v>49.7335283577034</c:v>
                </c:pt>
                <c:pt idx="21">
                  <c:v>49.4773770121315</c:v>
                </c:pt>
                <c:pt idx="22">
                  <c:v>49.2193646628176</c:v>
                </c:pt>
                <c:pt idx="23">
                  <c:v>48.959456401646</c:v>
                </c:pt>
                <c:pt idx="24">
                  <c:v>48.6976184312628</c:v>
                </c:pt>
                <c:pt idx="25">
                  <c:v>48.4338181827687</c:v>
                </c:pt>
                <c:pt idx="26">
                  <c:v>48.1680244330379</c:v>
                </c:pt>
                <c:pt idx="27">
                  <c:v>47.9002074209416</c:v>
                </c:pt>
                <c:pt idx="28">
                  <c:v>47.6303389617324</c:v>
                </c:pt>
                <c:pt idx="29">
                  <c:v>47.358392558829</c:v>
                </c:pt>
                <c:pt idx="30">
                  <c:v>47.0843435122325</c:v>
                </c:pt>
                <c:pt idx="31">
                  <c:v>46.8081690228037</c:v>
                </c:pt>
                <c:pt idx="32">
                  <c:v>46.5298482916444</c:v>
                </c:pt>
                <c:pt idx="33">
                  <c:v>46.2493626138383</c:v>
                </c:pt>
                <c:pt idx="34">
                  <c:v>45.9666954658429</c:v>
                </c:pt>
                <c:pt idx="35">
                  <c:v>45.6818325858555</c:v>
                </c:pt>
                <c:pt idx="36">
                  <c:v>45.3947620465267</c:v>
                </c:pt>
                <c:pt idx="37">
                  <c:v>45.1054743194516</c:v>
                </c:pt>
                <c:pt idx="38">
                  <c:v>44.8139623309309</c:v>
                </c:pt>
                <c:pt idx="39">
                  <c:v>44.5202215085681</c:v>
                </c:pt>
                <c:pt idx="40">
                  <c:v>44.2242498183475</c:v>
                </c:pt>
                <c:pt idx="41">
                  <c:v>43.9260477919197</c:v>
                </c:pt>
                <c:pt idx="42">
                  <c:v>43.6256185439127</c:v>
                </c:pt>
                <c:pt idx="43">
                  <c:v>43.3229677791759</c:v>
                </c:pt>
                <c:pt idx="44">
                  <c:v>43.0181037899554</c:v>
                </c:pt>
                <c:pt idx="45">
                  <c:v>42.7110374430966</c:v>
                </c:pt>
                <c:pt idx="46">
                  <c:v>42.4017821574572</c:v>
                </c:pt>
                <c:pt idx="47">
                  <c:v>42.0903538718027</c:v>
                </c:pt>
                <c:pt idx="48">
                  <c:v>41.7767710035457</c:v>
                </c:pt>
                <c:pt idx="49">
                  <c:v>41.4610543987629</c:v>
                </c:pt>
                <c:pt idx="50">
                  <c:v>41.1432272740016</c:v>
                </c:pt>
                <c:pt idx="51">
                  <c:v>40.8233151504526</c:v>
                </c:pt>
                <c:pt idx="52">
                  <c:v>40.5013457811196</c:v>
                </c:pt>
                <c:pt idx="53">
                  <c:v>40.1773490716701</c:v>
                </c:pt>
                <c:pt idx="54">
                  <c:v>39.8513569956846</c:v>
                </c:pt>
                <c:pt idx="55">
                  <c:v>39.5234035050581</c:v>
                </c:pt>
                <c:pt idx="56">
                  <c:v>39.19352443632</c:v>
                </c:pt>
                <c:pt idx="57">
                  <c:v>38.861757413655</c:v>
                </c:pt>
                <c:pt idx="58">
                  <c:v>38.5281417494048</c:v>
                </c:pt>
                <c:pt idx="59">
                  <c:v>38.1927183428238</c:v>
                </c:pt>
                <c:pt idx="60">
                  <c:v>37.8555295778454</c:v>
                </c:pt>
                <c:pt idx="61">
                  <c:v>37.5166192205919</c:v>
                </c:pt>
                <c:pt idx="62">
                  <c:v>37.176032317329</c:v>
                </c:pt>
                <c:pt idx="63">
                  <c:v>36.8338150935298</c:v>
                </c:pt>
                <c:pt idx="64">
                  <c:v>36.4900148546709</c:v>
                </c:pt>
                <c:pt idx="65">
                  <c:v>36.1446798893359</c:v>
                </c:pt>
                <c:pt idx="66">
                  <c:v>35.7978593751521</c:v>
                </c:pt>
                <c:pt idx="67">
                  <c:v>35.4496032880332</c:v>
                </c:pt>
                <c:pt idx="68">
                  <c:v>35.0999623151465</c:v>
                </c:pt>
                <c:pt idx="69">
                  <c:v>34.748987771968</c:v>
                </c:pt>
                <c:pt idx="70">
                  <c:v>34.3967315237328</c:v>
                </c:pt>
                <c:pt idx="71">
                  <c:v>34.0432459115345</c:v>
                </c:pt>
                <c:pt idx="72">
                  <c:v>33.6885836832702</c:v>
                </c:pt>
                <c:pt idx="73">
                  <c:v>33.3327979295799</c:v>
                </c:pt>
                <c:pt idx="74">
                  <c:v>32.9759420248742</c:v>
                </c:pt>
                <c:pt idx="75">
                  <c:v>32.6180695735004</c:v>
                </c:pt>
                <c:pt idx="76">
                  <c:v>32.259234361048</c:v>
                </c:pt>
                <c:pt idx="77">
                  <c:v>31.8994903107549</c:v>
                </c:pt>
                <c:pt idx="78">
                  <c:v>31.5388914449346</c:v>
                </c:pt>
                <c:pt idx="79">
                  <c:v>31.1774918513106</c:v>
                </c:pt>
                <c:pt idx="80">
                  <c:v>30.8153456541073</c:v>
                </c:pt>
                <c:pt idx="81">
                  <c:v>30.4525069897191</c:v>
                </c:pt>
                <c:pt idx="82">
                  <c:v>30.0890299867538</c:v>
                </c:pt>
                <c:pt idx="83">
                  <c:v>29.7249687502164</c:v>
                </c:pt>
                <c:pt idx="84">
                  <c:v>29.3603773495847</c:v>
                </c:pt>
                <c:pt idx="85">
                  <c:v>28.9953098105033</c:v>
                </c:pt>
                <c:pt idx="86">
                  <c:v>28.6298201098104</c:v>
                </c:pt>
                <c:pt idx="87">
                  <c:v>28.2639621735943</c:v>
                </c:pt>
                <c:pt idx="88">
                  <c:v>27.8977898779661</c:v>
                </c:pt>
                <c:pt idx="89">
                  <c:v>27.5313570522234</c:v>
                </c:pt>
                <c:pt idx="90">
                  <c:v>27.1647174840729</c:v>
                </c:pt>
                <c:pt idx="91">
                  <c:v>26.7979249265708</c:v>
                </c:pt>
                <c:pt idx="92">
                  <c:v>26.4310331064345</c:v>
                </c:pt>
                <c:pt idx="93">
                  <c:v>26.0640957333765</c:v>
                </c:pt>
                <c:pt idx="94">
                  <c:v>25.6971665101063</c:v>
                </c:pt>
                <c:pt idx="95">
                  <c:v>25.3302991426438</c:v>
                </c:pt>
                <c:pt idx="96">
                  <c:v>24.9635473505899</c:v>
                </c:pt>
                <c:pt idx="97">
                  <c:v>24.5969648769957</c:v>
                </c:pt>
                <c:pt idx="98">
                  <c:v>24.2306054974765</c:v>
                </c:pt>
                <c:pt idx="99">
                  <c:v>23.8645230282183</c:v>
                </c:pt>
                <c:pt idx="100">
                  <c:v>23.4987713325249</c:v>
                </c:pt>
                <c:pt idx="101">
                  <c:v>23.1334043255652</c:v>
                </c:pt>
                <c:pt idx="102">
                  <c:v>22.7684759769782</c:v>
                </c:pt>
                <c:pt idx="103">
                  <c:v>22.4040403110078</c:v>
                </c:pt>
                <c:pt idx="104">
                  <c:v>22.0401514038434</c:v>
                </c:pt>
                <c:pt idx="105">
                  <c:v>21.6768633778566</c:v>
                </c:pt>
                <c:pt idx="106">
                  <c:v>21.3142303924367</c:v>
                </c:pt>
                <c:pt idx="107">
                  <c:v>20.9523066311402</c:v>
                </c:pt>
                <c:pt idx="108">
                  <c:v>20.5911462848893</c:v>
                </c:pt>
                <c:pt idx="109">
                  <c:v>20.2308035309742</c:v>
                </c:pt>
                <c:pt idx="110">
                  <c:v>19.8713325076333</c:v>
                </c:pt>
                <c:pt idx="111">
                  <c:v>19.5127872840146</c:v>
                </c:pt>
                <c:pt idx="112">
                  <c:v>19.1552218253475</c:v>
                </c:pt>
                <c:pt idx="113">
                  <c:v>18.7986899531826</c:v>
                </c:pt>
                <c:pt idx="114">
                  <c:v>18.4432453005991</c:v>
                </c:pt>
                <c:pt idx="115">
                  <c:v>18.0889412623048</c:v>
                </c:pt>
                <c:pt idx="116">
                  <c:v>17.7358309396084</c:v>
                </c:pt>
                <c:pt idx="117">
                  <c:v>17.3839670802709</c:v>
                </c:pt>
                <c:pt idx="118">
                  <c:v>17.0334020133048</c:v>
                </c:pt>
                <c:pt idx="119">
                  <c:v>16.684187578825</c:v>
                </c:pt>
                <c:pt idx="120">
                  <c:v>16.3363750531174</c:v>
                </c:pt>
                <c:pt idx="121">
                  <c:v>15.9900150691329</c:v>
                </c:pt>
                <c:pt idx="122">
                  <c:v>15.645157532682</c:v>
                </c:pt>
                <c:pt idx="123">
                  <c:v>15.3018515346457</c:v>
                </c:pt>
                <c:pt idx="124">
                  <c:v>14.9601452595882</c:v>
                </c:pt>
                <c:pt idx="125">
                  <c:v>14.6200858911996</c:v>
                </c:pt>
                <c:pt idx="126">
                  <c:v>14.2817195150615</c:v>
                </c:pt>
                <c:pt idx="127">
                  <c:v>13.945091019273</c:v>
                </c:pt>
                <c:pt idx="128">
                  <c:v>13.6102439935255</c:v>
                </c:pt>
                <c:pt idx="129">
                  <c:v>13.2772206272645</c:v>
                </c:pt>
                <c:pt idx="130">
                  <c:v>12.9460616076118</c:v>
                </c:pt>
                <c:pt idx="131">
                  <c:v>12.6168060177603</c:v>
                </c:pt>
                <c:pt idx="132">
                  <c:v>12.2894912365824</c:v>
                </c:pt>
                <c:pt idx="133">
                  <c:v>11.9641528402146</c:v>
                </c:pt>
                <c:pt idx="134">
                  <c:v>11.6408245063953</c:v>
                </c:pt>
                <c:pt idx="135">
                  <c:v>11.3195379223384</c:v>
                </c:pt>
                <c:pt idx="136">
                  <c:v>11.0003226969212</c:v>
                </c:pt>
                <c:pt idx="137">
                  <c:v>10.6832062779557</c:v>
                </c:pt>
                <c:pt idx="138">
                  <c:v>10.3682138752839</c:v>
                </c:pt>
                <c:pt idx="139">
                  <c:v>10.0553683904128</c:v>
                </c:pt>
                <c:pt idx="140">
                  <c:v>9.74469035335632</c:v>
                </c:pt>
                <c:pt idx="141">
                  <c:v>9.43619786730732</c:v>
                </c:pt>
                <c:pt idx="142">
                  <c:v>9.12990656169729</c:v>
                </c:pt>
                <c:pt idx="143">
                  <c:v>8.8258295541388</c:v>
                </c:pt>
                <c:pt idx="144">
                  <c:v>8.52397742166574</c:v>
                </c:pt>
                <c:pt idx="145">
                  <c:v>8.22435818161273</c:v>
                </c:pt>
                <c:pt idx="146">
                  <c:v>7.926977282381</c:v>
                </c:pt>
                <c:pt idx="147">
                  <c:v>7.6318376042555</c:v>
                </c:pt>
                <c:pt idx="148">
                  <c:v>7.33893947034256</c:v>
                </c:pt>
                <c:pt idx="149">
                  <c:v>7.04828066760385</c:v>
                </c:pt>
                <c:pt idx="150">
                  <c:v>6.75985647787405</c:v>
                </c:pt>
                <c:pt idx="151">
                  <c:v>6.47365971865454</c:v>
                </c:pt>
                <c:pt idx="152">
                  <c:v>6.18968079339083</c:v>
                </c:pt>
                <c:pt idx="153">
                  <c:v>5.90790775085973</c:v>
                </c:pt>
                <c:pt idx="154">
                  <c:v>5.62832635321228</c:v>
                </c:pt>
                <c:pt idx="155">
                  <c:v>5.3509201521516</c:v>
                </c:pt>
                <c:pt idx="156">
                  <c:v>5.07567057266152</c:v>
                </c:pt>
                <c:pt idx="157">
                  <c:v>4.8025570036472</c:v>
                </c:pt>
                <c:pt idx="158">
                  <c:v>4.53155689480519</c:v>
                </c:pt>
                <c:pt idx="159">
                  <c:v>4.26264585900639</c:v>
                </c:pt>
                <c:pt idx="160">
                  <c:v>3.99579777944611</c:v>
                </c:pt>
                <c:pt idx="161">
                  <c:v>3.73098492080253</c:v>
                </c:pt>
                <c:pt idx="162">
                  <c:v>3.46817804363744</c:v>
                </c:pt>
                <c:pt idx="163">
                  <c:v>3.20734652127412</c:v>
                </c:pt>
                <c:pt idx="164">
                  <c:v>2.94845845839964</c:v>
                </c:pt>
                <c:pt idx="165">
                  <c:v>2.6914808106565</c:v>
                </c:pt>
                <c:pt idx="166">
                  <c:v>2.43637950451706</c:v>
                </c:pt>
                <c:pt idx="167">
                  <c:v>2.18311955676099</c:v>
                </c:pt>
                <c:pt idx="168">
                  <c:v>1.93166519292437</c:v>
                </c:pt>
                <c:pt idx="169">
                  <c:v>1.68197996411837</c:v>
                </c:pt>
                <c:pt idx="170">
                  <c:v>1.43402686167601</c:v>
                </c:pt>
                <c:pt idx="171">
                  <c:v>1.18776842912397</c:v>
                </c:pt>
                <c:pt idx="172">
                  <c:v>0.943166871033378</c:v>
                </c:pt>
                <c:pt idx="173">
                  <c:v>0.700184158357782</c:v>
                </c:pt>
                <c:pt idx="174">
                  <c:v>0.458782129912431</c:v>
                </c:pt>
                <c:pt idx="175">
                  <c:v>0.218922589711378</c:v>
                </c:pt>
                <c:pt idx="176">
                  <c:v>-0.0194326000782219</c:v>
                </c:pt>
                <c:pt idx="177">
                  <c:v>-0.256321430749106</c:v>
                </c:pt>
                <c:pt idx="178">
                  <c:v>-0.491781663372301</c:v>
                </c:pt>
                <c:pt idx="179">
                  <c:v>-0.725850749914895</c:v>
                </c:pt>
                <c:pt idx="180">
                  <c:v>-0.958565759205924</c:v>
                </c:pt>
                <c:pt idx="181">
                  <c:v>-1.18996330776053</c:v>
                </c:pt>
                <c:pt idx="182">
                  <c:v>-1.42007949543573</c:v>
                </c:pt>
                <c:pt idx="183">
                  <c:v>-1.64894984585875</c:v>
                </c:pt>
                <c:pt idx="184">
                  <c:v>-1.87660925153673</c:v>
                </c:pt>
                <c:pt idx="185">
                  <c:v>-2.10309192353426</c:v>
                </c:pt>
                <c:pt idx="186">
                  <c:v>-2.32843134557749</c:v>
                </c:pt>
                <c:pt idx="187">
                  <c:v>-2.55266023242791</c:v>
                </c:pt>
                <c:pt idx="188">
                  <c:v>-2.77581049235065</c:v>
                </c:pt>
                <c:pt idx="189">
                  <c:v>-2.99791319348706</c:v>
                </c:pt>
                <c:pt idx="190">
                  <c:v>-3.21899853393516</c:v>
                </c:pt>
                <c:pt idx="191">
                  <c:v>-3.43909581532757</c:v>
                </c:pt>
                <c:pt idx="192">
                  <c:v>-3.65823341969588</c:v>
                </c:pt>
                <c:pt idx="193">
                  <c:v>-3.87643878940441</c:v>
                </c:pt>
                <c:pt idx="194">
                  <c:v>-4.09373840993502</c:v>
                </c:pt>
                <c:pt idx="195">
                  <c:v>-4.31015779530671</c:v>
                </c:pt>
                <c:pt idx="196">
                  <c:v>-4.52572147591276</c:v>
                </c:pt>
                <c:pt idx="197">
                  <c:v>-4.7404529885644</c:v>
                </c:pt>
                <c:pt idx="198">
                  <c:v>-4.95437486853399</c:v>
                </c:pt>
                <c:pt idx="199">
                  <c:v>-5.16750864339258</c:v>
                </c:pt>
                <c:pt idx="200">
                  <c:v>-5.37987482845142</c:v>
                </c:pt>
                <c:pt idx="201">
                  <c:v>-5.59149292361419</c:v>
                </c:pt>
                <c:pt idx="202">
                  <c:v>-5.80238141146115</c:v>
                </c:pt>
                <c:pt idx="203">
                  <c:v>-6.0125577563944</c:v>
                </c:pt>
                <c:pt idx="204">
                  <c:v>-6.22203840467769</c:v>
                </c:pt>
                <c:pt idx="205">
                  <c:v>-6.43083878521766</c:v>
                </c:pt>
                <c:pt idx="206">
                  <c:v>-6.63897331093866</c:v>
                </c:pt>
                <c:pt idx="207">
                  <c:v>-6.84645538061597</c:v>
                </c:pt>
                <c:pt idx="208">
                  <c:v>-7.05329738103847</c:v>
                </c:pt>
                <c:pt idx="209">
                  <c:v>-7.25951068938051</c:v>
                </c:pt>
                <c:pt idx="210">
                  <c:v>-7.46510567567519</c:v>
                </c:pt>
                <c:pt idx="211">
                  <c:v>-7.67009170528646</c:v>
                </c:pt>
                <c:pt idx="212">
                  <c:v>-7.87447714128713</c:v>
                </c:pt>
                <c:pt idx="213">
                  <c:v>-8.07826934666032</c:v>
                </c:pt>
                <c:pt idx="214">
                  <c:v>-8.28147468624724</c:v>
                </c:pt>
                <c:pt idx="215">
                  <c:v>-8.4840985283764</c:v>
                </c:pt>
                <c:pt idx="216">
                  <c:v>-8.68614524611185</c:v>
                </c:pt>
                <c:pt idx="217">
                  <c:v>-8.88761821807379</c:v>
                </c:pt>
                <c:pt idx="218">
                  <c:v>-9.08851982878484</c:v>
                </c:pt>
                <c:pt idx="219">
                  <c:v>-9.28885146850907</c:v>
                </c:pt>
                <c:pt idx="220">
                  <c:v>-9.48861353255552</c:v>
                </c:pt>
                <c:pt idx="221">
                  <c:v>-9.68780542002751</c:v>
                </c:pt>
                <c:pt idx="222">
                  <c:v>-9.88642553200397</c:v>
                </c:pt>
                <c:pt idx="223">
                  <c:v>-10.0844712691507</c:v>
                </c:pt>
                <c:pt idx="224">
                  <c:v>-10.2819390287644</c:v>
                </c:pt>
                <c:pt idx="225">
                  <c:v>-10.4788242012603</c:v>
                </c:pt>
                <c:pt idx="226">
                  <c:v>-10.6751211661233</c:v>
                </c:pt>
                <c:pt idx="227">
                  <c:v>-10.8708232873507</c:v>
                </c:pt>
                <c:pt idx="228">
                  <c:v>-11.0659229084207</c:v>
                </c:pt>
                <c:pt idx="229">
                  <c:v>-11.2604113468332</c:v>
                </c:pt>
                <c:pt idx="230">
                  <c:v>-11.4542788882737</c:v>
                </c:pt>
                <c:pt idx="231">
                  <c:v>-11.6475147804624</c:v>
                </c:pt>
                <c:pt idx="232">
                  <c:v>-11.8401072267622</c:v>
                </c:pt>
                <c:pt idx="233">
                  <c:v>-12.0320433796224</c:v>
                </c:pt>
                <c:pt idx="234">
                  <c:v>-12.2233093339512</c:v>
                </c:pt>
                <c:pt idx="235">
                  <c:v>-12.4138901205176</c:v>
                </c:pt>
                <c:pt idx="236">
                  <c:v>-12.6037696994929</c:v>
                </c:pt>
                <c:pt idx="237">
                  <c:v>-12.7929309542541</c:v>
                </c:pt>
                <c:pt idx="238">
                  <c:v>-12.9813556855838</c:v>
                </c:pt>
                <c:pt idx="239">
                  <c:v>-13.1690246064093</c:v>
                </c:pt>
                <c:pt idx="240">
                  <c:v>-13.3559173372398</c:v>
                </c:pt>
                <c:pt idx="241">
                  <c:v>-13.5420124024677</c:v>
                </c:pt>
                <c:pt idx="242">
                  <c:v>-13.7272872277179</c:v>
                </c:pt>
                <c:pt idx="243">
                  <c:v>-13.9117181384349</c:v>
                </c:pt>
                <c:pt idx="244">
                  <c:v>-14.0952803599172</c:v>
                </c:pt>
                <c:pt idx="245">
                  <c:v>-14.2779480190122</c:v>
                </c:pt>
                <c:pt idx="246">
                  <c:v>-14.4596941477069</c:v>
                </c:pt>
                <c:pt idx="247">
                  <c:v>-14.6404906888533</c:v>
                </c:pt>
                <c:pt idx="248">
                  <c:v>-14.8203085042822</c:v>
                </c:pt>
                <c:pt idx="249">
                  <c:v>-14.9991173855732</c:v>
                </c:pt>
                <c:pt idx="250">
                  <c:v>-15.1768860677512</c:v>
                </c:pt>
                <c:pt idx="251">
                  <c:v>-15.3535822461974</c:v>
                </c:pt>
                <c:pt idx="252">
                  <c:v>-15.5291725970653</c:v>
                </c:pt>
                <c:pt idx="253">
                  <c:v>-15.7036228014988</c:v>
                </c:pt>
                <c:pt idx="254">
                  <c:v>-15.8768975739594</c:v>
                </c:pt>
                <c:pt idx="255">
                  <c:v>-16.0489606949637</c:v>
                </c:pt>
                <c:pt idx="256">
                  <c:v>-16.2197750485433</c:v>
                </c:pt>
                <c:pt idx="257">
                  <c:v>-16.3893026647249</c:v>
                </c:pt>
                <c:pt idx="258">
                  <c:v>-16.5575047673358</c:v>
                </c:pt>
                <c:pt idx="259">
                  <c:v>-16.72434182742</c:v>
                </c:pt>
                <c:pt idx="260">
                  <c:v>-16.8897736225463</c:v>
                </c:pt>
                <c:pt idx="261">
                  <c:v>-17.0537593022675</c:v>
                </c:pt>
                <c:pt idx="262">
                  <c:v>-17.2162574599739</c:v>
                </c:pt>
                <c:pt idx="263">
                  <c:v>-17.3772262113538</c:v>
                </c:pt>
                <c:pt idx="264">
                  <c:v>-17.5366232796485</c:v>
                </c:pt>
                <c:pt idx="265">
                  <c:v>-17.69440608785</c:v>
                </c:pt>
                <c:pt idx="266">
                  <c:v>-17.8505318579493</c:v>
                </c:pt>
                <c:pt idx="267">
                  <c:v>-18.0049577172982</c:v>
                </c:pt>
                <c:pt idx="268">
                  <c:v>-18.1576408120921</c:v>
                </c:pt>
                <c:pt idx="269">
                  <c:v>-18.3085384279278</c:v>
                </c:pt>
                <c:pt idx="270">
                  <c:v>-18.4576081173223</c:v>
                </c:pt>
                <c:pt idx="271">
                  <c:v>-18.6048078340122</c:v>
                </c:pt>
                <c:pt idx="272">
                  <c:v>-18.7500960737816</c:v>
                </c:pt>
                <c:pt idx="273">
                  <c:v>-18.8934320214825</c:v>
                </c:pt>
                <c:pt idx="274">
                  <c:v>-19.0347757038371</c:v>
                </c:pt>
                <c:pt idx="275">
                  <c:v>-19.174088147521</c:v>
                </c:pt>
                <c:pt idx="276">
                  <c:v>-19.3113315419395</c:v>
                </c:pt>
                <c:pt idx="277">
                  <c:v>-19.4464694060266</c:v>
                </c:pt>
                <c:pt idx="278">
                  <c:v>-19.5794667582982</c:v>
                </c:pt>
                <c:pt idx="279">
                  <c:v>-19.7102902893147</c:v>
                </c:pt>
                <c:pt idx="280">
                  <c:v>-19.8389085356171</c:v>
                </c:pt>
                <c:pt idx="281">
                  <c:v>-19.9652920541239</c:v>
                </c:pt>
                <c:pt idx="282">
                  <c:v>-20.0894135959037</c:v>
                </c:pt>
                <c:pt idx="283">
                  <c:v>-20.2112482781717</c:v>
                </c:pt>
                <c:pt idx="284">
                  <c:v>-20.3307737533019</c:v>
                </c:pt>
                <c:pt idx="285">
                  <c:v>-20.4479703736047</c:v>
                </c:pt>
                <c:pt idx="286">
                  <c:v>-20.5628213505839</c:v>
                </c:pt>
                <c:pt idx="287">
                  <c:v>-20.6753129073738</c:v>
                </c:pt>
                <c:pt idx="288">
                  <c:v>-20.7854344230516</c:v>
                </c:pt>
                <c:pt idx="289">
                  <c:v>-20.8931785675364</c:v>
                </c:pt>
                <c:pt idx="290">
                  <c:v>-20.9985414258213</c:v>
                </c:pt>
                <c:pt idx="291">
                  <c:v>-21.1015226103304</c:v>
                </c:pt>
                <c:pt idx="292">
                  <c:v>-21.2021253602687</c:v>
                </c:pt>
                <c:pt idx="293">
                  <c:v>-21.3003566269132</c:v>
                </c:pt>
                <c:pt idx="294">
                  <c:v>-21.3962271439068</c:v>
                </c:pt>
                <c:pt idx="295">
                  <c:v>-21.4897514817326</c:v>
                </c:pt>
                <c:pt idx="296">
                  <c:v>-21.5809480856885</c:v>
                </c:pt>
                <c:pt idx="297">
                  <c:v>-21.6698392968314</c:v>
                </c:pt>
                <c:pt idx="298">
                  <c:v>-21.7564513555262</c:v>
                </c:pt>
                <c:pt idx="299">
                  <c:v>-21.8408143874058</c:v>
                </c:pt>
                <c:pt idx="300">
                  <c:v>-21.92296237173</c:v>
                </c:pt>
                <c:pt idx="301">
                  <c:v>-22.0029330923106</c:v>
                </c:pt>
                <c:pt idx="302">
                  <c:v>-22.0807680713594</c:v>
                </c:pt>
                <c:pt idx="303">
                  <c:v>-22.1565124867897</c:v>
                </c:pt>
                <c:pt idx="304">
                  <c:v>-22.2302150736809</c:v>
                </c:pt>
                <c:pt idx="305">
                  <c:v>-22.3019280107803</c:v>
                </c:pt>
                <c:pt idx="306">
                  <c:v>-22.3717067930662</c:v>
                </c:pt>
                <c:pt idx="307">
                  <c:v>-22.4396100915367</c:v>
                </c:pt>
                <c:pt idx="308">
                  <c:v>-22.5056996015094</c:v>
                </c:pt>
                <c:pt idx="309">
                  <c:v>-22.5700398808109</c:v>
                </c:pt>
                <c:pt idx="310">
                  <c:v>-22.6326981793215</c:v>
                </c:pt>
                <c:pt idx="311">
                  <c:v>-22.6937442613905</c:v>
                </c:pt>
                <c:pt idx="312">
                  <c:v>-22.753250222672</c:v>
                </c:pt>
                <c:pt idx="313">
                  <c:v>-22.8112903029365</c:v>
                </c:pt>
                <c:pt idx="314">
                  <c:v>-22.8679406964042</c:v>
                </c:pt>
                <c:pt idx="315">
                  <c:v>-22.9232793611013</c:v>
                </c:pt>
                <c:pt idx="316">
                  <c:v>-22.9773858286858</c:v>
                </c:pt>
                <c:pt idx="317">
                  <c:v>-23.0303410161092</c:v>
                </c:pt>
                <c:pt idx="318">
                  <c:v>-23.0822270403823</c:v>
                </c:pt>
                <c:pt idx="319">
                  <c:v>-23.1331270376029</c:v>
                </c:pt>
                <c:pt idx="320">
                  <c:v>-23.1831249872786</c:v>
                </c:pt>
                <c:pt idx="321">
                  <c:v>-23.2323055428389</c:v>
                </c:pt>
                <c:pt idx="322">
                  <c:v>-23.2807538690921</c:v>
                </c:pt>
                <c:pt idx="323">
                  <c:v>-23.3285554872354</c:v>
                </c:pt>
                <c:pt idx="324">
                  <c:v>-23.3757961278725</c:v>
                </c:pt>
                <c:pt idx="325">
                  <c:v>-23.4225615923544</c:v>
                </c:pt>
                <c:pt idx="326">
                  <c:v>-23.4689376226028</c:v>
                </c:pt>
                <c:pt idx="327">
                  <c:v>-23.5150097794481</c:v>
                </c:pt>
                <c:pt idx="328">
                  <c:v>-23.5608633293749</c:v>
                </c:pt>
                <c:pt idx="329">
                  <c:v>-23.6065831394508</c:v>
                </c:pt>
                <c:pt idx="330">
                  <c:v>-23.6522535801023</c:v>
                </c:pt>
                <c:pt idx="331">
                  <c:v>-23.6979584353031</c:v>
                </c:pt>
                <c:pt idx="332">
                  <c:v>-23.7437808196597</c:v>
                </c:pt>
                <c:pt idx="333">
                  <c:v>-23.7898031018006</c:v>
                </c:pt>
                <c:pt idx="334">
                  <c:v>-23.8361068334284</c:v>
                </c:pt>
                <c:pt idx="335">
                  <c:v>-23.8827726833446</c:v>
                </c:pt>
                <c:pt idx="336">
                  <c:v>-23.9298803757335</c:v>
                </c:pt>
                <c:pt idx="337">
                  <c:v>-23.9775086319782</c:v>
                </c:pt>
                <c:pt idx="338">
                  <c:v>-24.0257351152783</c:v>
                </c:pt>
                <c:pt idx="339">
                  <c:v>-24.0746363773586</c:v>
                </c:pt>
                <c:pt idx="340">
                  <c:v>-24.1242878065754</c:v>
                </c:pt>
                <c:pt idx="341">
                  <c:v>-24.1747635767723</c:v>
                </c:pt>
                <c:pt idx="342">
                  <c:v>-24.2261365962755</c:v>
                </c:pt>
                <c:pt idx="343">
                  <c:v>-24.2784784564837</c:v>
                </c:pt>
                <c:pt idx="344">
                  <c:v>-24.3318593795665</c:v>
                </c:pt>
                <c:pt idx="345">
                  <c:v>-24.3863481648561</c:v>
                </c:pt>
                <c:pt idx="346">
                  <c:v>-24.4420121336018</c:v>
                </c:pt>
                <c:pt idx="347">
                  <c:v>-24.4989170718284</c:v>
                </c:pt>
                <c:pt idx="348">
                  <c:v>-24.5571271711329</c:v>
                </c:pt>
                <c:pt idx="349">
                  <c:v>-24.6167049673395</c:v>
                </c:pt>
                <c:pt idx="350">
                  <c:v>-24.6777112770174</c:v>
                </c:pt>
                <c:pt idx="351">
                  <c:v>-24.7402051319604</c:v>
                </c:pt>
                <c:pt idx="352">
                  <c:v>-24.8042437118079</c:v>
                </c:pt>
                <c:pt idx="353">
                  <c:v>-24.8698822750735</c:v>
                </c:pt>
                <c:pt idx="354">
                  <c:v>-24.9371740889264</c:v>
                </c:pt>
                <c:pt idx="355">
                  <c:v>-25.006170358144</c:v>
                </c:pt>
                <c:pt idx="356">
                  <c:v>-25.0769201537245</c:v>
                </c:pt>
                <c:pt idx="357">
                  <c:v>-25.1494703417044</c:v>
                </c:pt>
                <c:pt idx="358">
                  <c:v>-25.2238655127857</c:v>
                </c:pt>
                <c:pt idx="359">
                  <c:v>-25.300147913411</c:v>
                </c:pt>
                <c:pt idx="360">
                  <c:v>-25.3783573789687</c:v>
                </c:pt>
                <c:pt idx="361">
                  <c:v>-25.4585312698232</c:v>
                </c:pt>
                <c:pt idx="362">
                  <c:v>-25.5407044108857</c:v>
                </c:pt>
                <c:pt idx="363">
                  <c:v>-25.6249090354356</c:v>
                </c:pt>
                <c:pt idx="364">
                  <c:v>-25.711174733895</c:v>
                </c:pt>
                <c:pt idx="365">
                  <c:v>-25.7995284082372</c:v>
                </c:pt>
                <c:pt idx="366">
                  <c:v>-25.8899942326737</c:v>
                </c:pt>
                <c:pt idx="367">
                  <c:v>-25.9825936212272</c:v>
                </c:pt>
                <c:pt idx="368">
                  <c:v>-26.0773452027366</c:v>
                </c:pt>
                <c:pt idx="369">
                  <c:v>-26.1742648037852</c:v>
                </c:pt>
                <c:pt idx="370">
                  <c:v>-26.2733654399688</c:v>
                </c:pt>
                <c:pt idx="371">
                  <c:v>-26.3746573158427</c:v>
                </c:pt>
                <c:pt idx="372">
                  <c:v>-26.4781478338075</c:v>
                </c:pt>
                <c:pt idx="373">
                  <c:v>-26.5838416121018</c:v>
                </c:pt>
                <c:pt idx="374">
                  <c:v>-26.6917405119844</c:v>
                </c:pt>
                <c:pt idx="375">
                  <c:v>-26.8018436740935</c:v>
                </c:pt>
                <c:pt idx="376">
                  <c:v>-26.914147563883</c:v>
                </c:pt>
                <c:pt idx="377">
                  <c:v>-27.0286460259458</c:v>
                </c:pt>
                <c:pt idx="378">
                  <c:v>-27.1453303469465</c:v>
                </c:pt>
                <c:pt idx="379">
                  <c:v>-27.2641893268064</c:v>
                </c:pt>
                <c:pt idx="380">
                  <c:v>-27.3852093577102</c:v>
                </c:pt>
                <c:pt idx="381">
                  <c:v>-27.5083745104268</c:v>
                </c:pt>
                <c:pt idx="382">
                  <c:v>-27.6336666273872</c:v>
                </c:pt>
                <c:pt idx="383">
                  <c:v>-27.7610654219002</c:v>
                </c:pt>
                <c:pt idx="384">
                  <c:v>-27.8905485828472</c:v>
                </c:pt>
                <c:pt idx="385">
                  <c:v>-28.0220918841632</c:v>
                </c:pt>
                <c:pt idx="386">
                  <c:v>-28.1556692983843</c:v>
                </c:pt>
                <c:pt idx="387">
                  <c:v>-28.2912531135306</c:v>
                </c:pt>
                <c:pt idx="388">
                  <c:v>-28.4288140525808</c:v>
                </c:pt>
                <c:pt idx="389">
                  <c:v>-28.5683213948064</c:v>
                </c:pt>
                <c:pt idx="390">
                  <c:v>-28.7097430982366</c:v>
                </c:pt>
                <c:pt idx="391">
                  <c:v>-28.8530459225508</c:v>
                </c:pt>
                <c:pt idx="392">
                  <c:v>-28.9981955517155</c:v>
                </c:pt>
                <c:pt idx="393">
                  <c:v>-29.1451567157228</c:v>
                </c:pt>
                <c:pt idx="394">
                  <c:v>-29.2938933108174</c:v>
                </c:pt>
                <c:pt idx="395">
                  <c:v>-29.4443685176478</c:v>
                </c:pt>
                <c:pt idx="396">
                  <c:v>-29.5965449168202</c:v>
                </c:pt>
                <c:pt idx="397">
                  <c:v>-29.750384601384</c:v>
                </c:pt>
                <c:pt idx="398">
                  <c:v>-29.9058492858274</c:v>
                </c:pt>
                <c:pt idx="399">
                  <c:v>-30.0629004112141</c:v>
                </c:pt>
                <c:pt idx="400">
                  <c:v>-30.2214992461443</c:v>
                </c:pt>
                <c:pt idx="401">
                  <c:v>-30.3816069832743</c:v>
                </c:pt>
                <c:pt idx="402">
                  <c:v>-30.5431848311779</c:v>
                </c:pt>
                <c:pt idx="403">
                  <c:v>-30.7061941013871</c:v>
                </c:pt>
                <c:pt idx="404">
                  <c:v>-30.8705962904875</c:v>
                </c:pt>
                <c:pt idx="405">
                  <c:v>-31.0363531571975</c:v>
                </c:pt>
                <c:pt idx="406">
                  <c:v>-31.2034267943953</c:v>
                </c:pt>
                <c:pt idx="407">
                  <c:v>-31.3717796960964</c:v>
                </c:pt>
                <c:pt idx="408">
                  <c:v>-31.541374819425</c:v>
                </c:pt>
                <c:pt idx="409">
                  <c:v>-31.7121756416464</c:v>
                </c:pt>
                <c:pt idx="410">
                  <c:v>-31.8841462123628</c:v>
                </c:pt>
                <c:pt idx="411">
                  <c:v>-32.0572512009949</c:v>
                </c:pt>
                <c:pt idx="412">
                  <c:v>-32.2314559396956</c:v>
                </c:pt>
                <c:pt idx="413">
                  <c:v>-32.4067264618631</c:v>
                </c:pt>
                <c:pt idx="414">
                  <c:v>-32.5830295364284</c:v>
                </c:pt>
                <c:pt idx="415">
                  <c:v>-32.7603326981141</c:v>
                </c:pt>
                <c:pt idx="416">
                  <c:v>-32.9386042738636</c:v>
                </c:pt>
                <c:pt idx="417">
                  <c:v>-33.1178134056525</c:v>
                </c:pt>
                <c:pt idx="418">
                  <c:v>-33.2979300698929</c:v>
                </c:pt>
                <c:pt idx="419">
                  <c:v>-33.4789250936505</c:v>
                </c:pt>
                <c:pt idx="420">
                  <c:v>-33.6607701678905</c:v>
                </c:pt>
                <c:pt idx="421">
                  <c:v>-33.8434378579701</c:v>
                </c:pt>
                <c:pt idx="422">
                  <c:v>-34.026901611589</c:v>
                </c:pt>
                <c:pt idx="423">
                  <c:v>-34.2111357644134</c:v>
                </c:pt>
                <c:pt idx="424">
                  <c:v>-34.3961155435731</c:v>
                </c:pt>
                <c:pt idx="425">
                  <c:v>-34.5818170692373</c:v>
                </c:pt>
                <c:pt idx="426">
                  <c:v>-34.7682173544591</c:v>
                </c:pt>
                <c:pt idx="427">
                  <c:v>-34.9552943034754</c:v>
                </c:pt>
                <c:pt idx="428">
                  <c:v>-35.1430267086411</c:v>
                </c:pt>
                <c:pt idx="429">
                  <c:v>-35.3313942461693</c:v>
                </c:pt>
                <c:pt idx="430">
                  <c:v>-35.5203774708377</c:v>
                </c:pt>
                <c:pt idx="431">
                  <c:v>-35.7099578098154</c:v>
                </c:pt>
                <c:pt idx="432">
                  <c:v>-35.9001175557585</c:v>
                </c:pt>
                <c:pt idx="433">
                  <c:v>-36.0908398593067</c:v>
                </c:pt>
                <c:pt idx="434">
                  <c:v>-36.2821087211133</c:v>
                </c:pt>
                <c:pt idx="435">
                  <c:v>-36.4739089835278</c:v>
                </c:pt>
                <c:pt idx="436">
                  <c:v>-36.6662263220419</c:v>
                </c:pt>
                <c:pt idx="437">
                  <c:v>-36.8590472366066</c:v>
                </c:pt>
                <c:pt idx="438">
                  <c:v>-37.052359042915</c:v>
                </c:pt>
                <c:pt idx="439">
                  <c:v>-37.2461498637401</c:v>
                </c:pt>
                <c:pt idx="440">
                  <c:v>-37.4404086204127</c:v>
                </c:pt>
                <c:pt idx="441">
                  <c:v>-37.6351250245121</c:v>
                </c:pt>
                <c:pt idx="442">
                  <c:v>-37.8302895698423</c:v>
                </c:pt>
                <c:pt idx="443">
                  <c:v>-38.0258935247538</c:v>
                </c:pt>
                <c:pt idx="444">
                  <c:v>-38.2219289248707</c:v>
                </c:pt>
                <c:pt idx="445">
                  <c:v>-38.4183885662741</c:v>
                </c:pt>
                <c:pt idx="446">
                  <c:v>-38.6152659991886</c:v>
                </c:pt>
                <c:pt idx="447">
                  <c:v>-38.8125555222123</c:v>
                </c:pt>
                <c:pt idx="448">
                  <c:v>-39.0102521771284</c:v>
                </c:pt>
                <c:pt idx="449">
                  <c:v>-39.2083517443304</c:v>
                </c:pt>
                <c:pt idx="450">
                  <c:v>-39.4068507388858</c:v>
                </c:pt>
                <c:pt idx="451">
                  <c:v>-39.6057464072657</c:v>
                </c:pt>
                <c:pt idx="452">
                  <c:v>-39.8050367247562</c:v>
                </c:pt>
                <c:pt idx="453">
                  <c:v>-40.004720393569</c:v>
                </c:pt>
                <c:pt idx="454">
                  <c:v>-40.2047968416607</c:v>
                </c:pt>
                <c:pt idx="455">
                  <c:v>-40.4052662222707</c:v>
                </c:pt>
                <c:pt idx="456">
                  <c:v>-40.6061294141795</c:v>
                </c:pt>
                <c:pt idx="457">
                  <c:v>-40.8073880226874</c:v>
                </c:pt>
                <c:pt idx="458">
                  <c:v>-41.0090443813136</c:v>
                </c:pt>
                <c:pt idx="459">
                  <c:v>-41.2111015542026</c:v>
                </c:pt>
                <c:pt idx="460">
                  <c:v>-41.4135633392324</c:v>
                </c:pt>
                <c:pt idx="461">
                  <c:v>-41.6164342718052</c:v>
                </c:pt>
                <c:pt idx="462">
                  <c:v>-41.8197196293045</c:v>
                </c:pt>
                <c:pt idx="463">
                  <c:v>-42.0234254361944</c:v>
                </c:pt>
                <c:pt idx="464">
                  <c:v>-42.2275584697326</c:v>
                </c:pt>
                <c:pt idx="465">
                  <c:v>-42.4321262662689</c:v>
                </c:pt>
                <c:pt idx="466">
                  <c:v>-42.6371371280873</c:v>
                </c:pt>
                <c:pt idx="467">
                  <c:v>-42.8426001307568</c:v>
                </c:pt>
                <c:pt idx="468">
                  <c:v>-43.0485251309392</c:v>
                </c:pt>
                <c:pt idx="469">
                  <c:v>-43.2549227746052</c:v>
                </c:pt>
                <c:pt idx="470">
                  <c:v>-43.4618045056019</c:v>
                </c:pt>
                <c:pt idx="471">
                  <c:v>-43.6691825745053</c:v>
                </c:pt>
                <c:pt idx="472">
                  <c:v>-43.8770700476936</c:v>
                </c:pt>
                <c:pt idx="473">
                  <c:v>-44.08548081656</c:v>
                </c:pt>
                <c:pt idx="474">
                  <c:v>-44.294429606789</c:v>
                </c:pt>
                <c:pt idx="475">
                  <c:v>-44.5039319876002</c:v>
                </c:pt>
                <c:pt idx="476">
                  <c:v>-44.7140043808675</c:v>
                </c:pt>
                <c:pt idx="477">
                  <c:v>-44.9246640700087</c:v>
                </c:pt>
                <c:pt idx="478">
                  <c:v>-45.1359292085315</c:v>
                </c:pt>
                <c:pt idx="479">
                  <c:v>-45.3478188281182</c:v>
                </c:pt>
                <c:pt idx="480">
                  <c:v>-45.5603528461208</c:v>
                </c:pt>
                <c:pt idx="481">
                  <c:v>-45.7735520723274</c:v>
                </c:pt>
                <c:pt idx="482">
                  <c:v>-45.98743821486</c:v>
                </c:pt>
                <c:pt idx="483">
                  <c:v>-46.2020338850459</c:v>
                </c:pt>
                <c:pt idx="484">
                  <c:v>-46.4173626011053</c:v>
                </c:pt>
                <c:pt idx="485">
                  <c:v>-46.6334487904823</c:v>
                </c:pt>
                <c:pt idx="486">
                  <c:v>-46.8503177906461</c:v>
                </c:pt>
                <c:pt idx="487">
                  <c:v>-47.0679958481743</c:v>
                </c:pt>
                <c:pt idx="488">
                  <c:v>-47.2865101159296</c:v>
                </c:pt>
                <c:pt idx="489">
                  <c:v>-47.5058886481311</c:v>
                </c:pt>
                <c:pt idx="490">
                  <c:v>-47.7261603931174</c:v>
                </c:pt>
                <c:pt idx="491">
                  <c:v>-47.9473551835954</c:v>
                </c:pt>
                <c:pt idx="492">
                  <c:v>-48.1695037241624</c:v>
                </c:pt>
                <c:pt idx="493">
                  <c:v>-48.3926375758911</c:v>
                </c:pt>
                <c:pt idx="494">
                  <c:v>-48.6167891377629</c:v>
                </c:pt>
                <c:pt idx="495">
                  <c:v>-48.8419916247416</c:v>
                </c:pt>
                <c:pt idx="496">
                  <c:v>-49.0682790422748</c:v>
                </c:pt>
                <c:pt idx="497">
                  <c:v>-49.2956861570262</c:v>
                </c:pt>
                <c:pt idx="498">
                  <c:v>-49.5242484636415</c:v>
                </c:pt>
                <c:pt idx="499">
                  <c:v>-49.7540021473645</c:v>
                </c:pt>
                <c:pt idx="500">
                  <c:v>-49.9849840423368</c:v>
                </c:pt>
                <c:pt idx="501">
                  <c:v>-50.2172315854224</c:v>
                </c:pt>
                <c:pt idx="502">
                  <c:v>-50.4507827654282</c:v>
                </c:pt>
                <c:pt idx="503">
                  <c:v>-50.6856760676068</c:v>
                </c:pt>
                <c:pt idx="504">
                  <c:v>-50.9219504133564</c:v>
                </c:pt>
                <c:pt idx="505">
                  <c:v>-51.1596450950655</c:v>
                </c:pt>
                <c:pt idx="506">
                  <c:v>-51.3987997060761</c:v>
                </c:pt>
                <c:pt idx="507">
                  <c:v>-51.6394540657827</c:v>
                </c:pt>
                <c:pt idx="508">
                  <c:v>-51.8816481399216</c:v>
                </c:pt>
                <c:pt idx="509">
                  <c:v>-52.1254219561443</c:v>
                </c:pt>
                <c:pt idx="510">
                  <c:v>-52.3708155150192</c:v>
                </c:pt>
                <c:pt idx="511">
                  <c:v>-52.6178686966529</c:v>
                </c:pt>
                <c:pt idx="512">
                  <c:v>-52.86662116317</c:v>
                </c:pt>
                <c:pt idx="513">
                  <c:v>-53.1171122573443</c:v>
                </c:pt>
                <c:pt idx="514">
                  <c:v>-53.3693808977281</c:v>
                </c:pt>
                <c:pt idx="515">
                  <c:v>-53.6234654706751</c:v>
                </c:pt>
                <c:pt idx="516">
                  <c:v>-53.8794037197108</c:v>
                </c:pt>
                <c:pt idx="517">
                  <c:v>-54.1372326327528</c:v>
                </c:pt>
                <c:pt idx="518">
                  <c:v>-54.396988327732</c:v>
                </c:pt>
                <c:pt idx="519">
                  <c:v>-54.6587059372158</c:v>
                </c:pt>
                <c:pt idx="520">
                  <c:v>-54.9224194926775</c:v>
                </c:pt>
                <c:pt idx="521">
                  <c:v>-55.1881618090891</c:v>
                </c:pt>
                <c:pt idx="522">
                  <c:v>-55.4559643705551</c:v>
                </c:pt>
                <c:pt idx="523">
                  <c:v>-55.7258572177277</c:v>
                </c:pt>
                <c:pt idx="524">
                  <c:v>-55.9978688377618</c:v>
                </c:pt>
                <c:pt idx="525">
                  <c:v>-56.2720260575847</c:v>
                </c:pt>
                <c:pt idx="526">
                  <c:v>-56.54835394125</c:v>
                </c:pt>
                <c:pt idx="527">
                  <c:v>-56.82687569215</c:v>
                </c:pt>
                <c:pt idx="528">
                  <c:v>-57.1076125608347</c:v>
                </c:pt>
                <c:pt idx="529">
                  <c:v>-57.3905837591684</c:v>
                </c:pt>
                <c:pt idx="530">
                  <c:v>-57.6758063815144</c:v>
                </c:pt>
                <c:pt idx="531">
                  <c:v>-57.9632953335987</c:v>
                </c:pt>
                <c:pt idx="532">
                  <c:v>-58.2530632696486</c:v>
                </c:pt>
                <c:pt idx="533">
                  <c:v>-58.5451205383382</c:v>
                </c:pt>
                <c:pt idx="534">
                  <c:v>-58.8394751380085</c:v>
                </c:pt>
                <c:pt idx="535">
                  <c:v>-59.1361326815482</c:v>
                </c:pt>
                <c:pt idx="536">
                  <c:v>-59.4350963712414</c:v>
                </c:pt>
                <c:pt idx="537">
                  <c:v>-59.7363669838038</c:v>
                </c:pt>
                <c:pt idx="538">
                  <c:v>-60.039942865733</c:v>
                </c:pt>
                <c:pt idx="539">
                  <c:v>-60.3458199390126</c:v>
                </c:pt>
                <c:pt idx="540">
                  <c:v>-60.6539917171123</c:v>
                </c:pt>
                <c:pt idx="541">
                  <c:v>-60.9644493311365</c:v>
                </c:pt>
              </c:numCache>
            </c:numRef>
          </c:yVal>
          <c:smooth val="1"/>
        </c:ser>
        <c:dLbls>
          <c:showLegendKey val="0"/>
          <c:showVal val="0"/>
          <c:showCatName val="0"/>
          <c:showSerName val="0"/>
          <c:showPercent val="0"/>
          <c:showBubbleSize val="0"/>
        </c:dLbls>
        <c:axId val="178953600"/>
        <c:axId val="178959872"/>
      </c:scatterChart>
      <c:scatterChart>
        <c:scatterStyle val="smooth"/>
        <c:varyColors val="0"/>
        <c:ser>
          <c:idx val="1"/>
          <c:order val="1"/>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Loop_Modeling!$BM$19:$BM$560</c:f>
              <c:numCache>
                <c:formatCode>General</c:formatCode>
                <c:ptCount val="542"/>
                <c:pt idx="0">
                  <c:v>70.529729523912</c:v>
                </c:pt>
                <c:pt idx="1">
                  <c:v>70.1229439689216</c:v>
                </c:pt>
                <c:pt idx="2">
                  <c:v>69.7096385052915</c:v>
                </c:pt>
                <c:pt idx="3">
                  <c:v>69.2898314630216</c:v>
                </c:pt>
                <c:pt idx="4">
                  <c:v>68.8635496634286</c:v>
                </c:pt>
                <c:pt idx="5">
                  <c:v>68.4308288235774</c:v>
                </c:pt>
                <c:pt idx="6">
                  <c:v>67.9917139572582</c:v>
                </c:pt>
                <c:pt idx="7">
                  <c:v>67.5462597702231</c:v>
                </c:pt>
                <c:pt idx="8">
                  <c:v>67.09453104724</c:v>
                </c:pt>
                <c:pt idx="9">
                  <c:v>66.6366030283749</c:v>
                </c:pt>
                <c:pt idx="10">
                  <c:v>66.1725617717623</c:v>
                </c:pt>
                <c:pt idx="11">
                  <c:v>65.702504500003</c:v>
                </c:pt>
                <c:pt idx="12">
                  <c:v>65.2265399272221</c:v>
                </c:pt>
                <c:pt idx="13">
                  <c:v>64.7447885637118</c:v>
                </c:pt>
                <c:pt idx="14">
                  <c:v>64.2573829950422</c:v>
                </c:pt>
                <c:pt idx="15">
                  <c:v>63.7644681324576</c:v>
                </c:pt>
                <c:pt idx="16">
                  <c:v>63.2662014313866</c:v>
                </c:pt>
                <c:pt idx="17">
                  <c:v>62.7627530748997</c:v>
                </c:pt>
                <c:pt idx="18">
                  <c:v>62.2543061190202</c:v>
                </c:pt>
                <c:pt idx="19">
                  <c:v>61.7410565968834</c:v>
                </c:pt>
                <c:pt idx="20">
                  <c:v>61.2232135788819</c:v>
                </c:pt>
                <c:pt idx="21">
                  <c:v>60.7009991861082</c:v>
                </c:pt>
                <c:pt idx="22">
                  <c:v>60.1746485546333</c:v>
                </c:pt>
                <c:pt idx="23">
                  <c:v>59.6444097484289</c:v>
                </c:pt>
                <c:pt idx="24">
                  <c:v>59.110543619042</c:v>
                </c:pt>
                <c:pt idx="25">
                  <c:v>58.5733236104864</c:v>
                </c:pt>
                <c:pt idx="26">
                  <c:v>58.0330355082046</c:v>
                </c:pt>
                <c:pt idx="27">
                  <c:v>57.4899771313815</c:v>
                </c:pt>
                <c:pt idx="28">
                  <c:v>56.9444579683423</c:v>
                </c:pt>
                <c:pt idx="29">
                  <c:v>56.3967987552652</c:v>
                </c:pt>
                <c:pt idx="30">
                  <c:v>55.8473309989336</c:v>
                </c:pt>
                <c:pt idx="31">
                  <c:v>55.2963964447836</c:v>
                </c:pt>
                <c:pt idx="32">
                  <c:v>54.7443464920319</c:v>
                </c:pt>
                <c:pt idx="33">
                  <c:v>54.1915415581922</c:v>
                </c:pt>
                <c:pt idx="34">
                  <c:v>53.6383503958238</c:v>
                </c:pt>
                <c:pt idx="35">
                  <c:v>53.0851493648472</c:v>
                </c:pt>
                <c:pt idx="36">
                  <c:v>52.5323216642562</c:v>
                </c:pt>
                <c:pt idx="37">
                  <c:v>51.9802565274956</c:v>
                </c:pt>
                <c:pt idx="38">
                  <c:v>51.4293483861791</c:v>
                </c:pt>
                <c:pt idx="39">
                  <c:v>50.8799960071918</c:v>
                </c:pt>
                <c:pt idx="40">
                  <c:v>50.3326016085137</c:v>
                </c:pt>
                <c:pt idx="41">
                  <c:v>49.7875699593454</c:v>
                </c:pt>
                <c:pt idx="42">
                  <c:v>49.245307470301</c:v>
                </c:pt>
                <c:pt idx="43">
                  <c:v>48.7062212795364</c:v>
                </c:pt>
                <c:pt idx="44">
                  <c:v>48.1707183407122</c:v>
                </c:pt>
                <c:pt idx="45">
                  <c:v>47.6392045186731</c:v>
                </c:pt>
                <c:pt idx="46">
                  <c:v>47.1120836985979</c:v>
                </c:pt>
                <c:pt idx="47">
                  <c:v>46.589756914218</c:v>
                </c:pt>
                <c:pt idx="48">
                  <c:v>46.0726215004453</c:v>
                </c:pt>
                <c:pt idx="49">
                  <c:v>45.5610702754554</c:v>
                </c:pt>
                <c:pt idx="50">
                  <c:v>45.0554907569116</c:v>
                </c:pt>
                <c:pt idx="51">
                  <c:v>44.5562644166016</c:v>
                </c:pt>
                <c:pt idx="52">
                  <c:v>44.0637659773085</c:v>
                </c:pt>
                <c:pt idx="53">
                  <c:v>43.578362755254</c:v>
                </c:pt>
                <c:pt idx="54">
                  <c:v>43.1004140509336</c:v>
                </c:pt>
                <c:pt idx="55">
                  <c:v>42.6302705906357</c:v>
                </c:pt>
                <c:pt idx="56">
                  <c:v>42.1682740203962</c:v>
                </c:pt>
                <c:pt idx="57">
                  <c:v>41.714756453594</c:v>
                </c:pt>
                <c:pt idx="58">
                  <c:v>41.2700400728636</c:v>
                </c:pt>
                <c:pt idx="59">
                  <c:v>40.8344367864713</c:v>
                </c:pt>
                <c:pt idx="60">
                  <c:v>40.408247938809</c:v>
                </c:pt>
                <c:pt idx="61">
                  <c:v>39.9917640741731</c:v>
                </c:pt>
                <c:pt idx="62">
                  <c:v>39.5852647525637</c:v>
                </c:pt>
                <c:pt idx="63">
                  <c:v>39.1890184158206</c:v>
                </c:pt>
                <c:pt idx="64">
                  <c:v>38.8032823020509</c:v>
                </c:pt>
                <c:pt idx="65">
                  <c:v>38.4283024059661</c:v>
                </c:pt>
                <c:pt idx="66">
                  <c:v>38.0643134824698</c:v>
                </c:pt>
                <c:pt idx="67">
                  <c:v>37.7115390905851</c:v>
                </c:pt>
                <c:pt idx="68">
                  <c:v>37.3701916746194</c:v>
                </c:pt>
                <c:pt idx="69">
                  <c:v>37.0404726792994</c:v>
                </c:pt>
                <c:pt idx="70">
                  <c:v>36.7225726955005</c:v>
                </c:pt>
                <c:pt idx="71">
                  <c:v>36.4166716331129</c:v>
                </c:pt>
                <c:pt idx="72">
                  <c:v>36.1229389175477</c:v>
                </c:pt>
                <c:pt idx="73">
                  <c:v>35.8415337063797</c:v>
                </c:pt>
                <c:pt idx="74">
                  <c:v>35.5726051226529</c:v>
                </c:pt>
                <c:pt idx="75">
                  <c:v>35.3162925014202</c:v>
                </c:pt>
                <c:pt idx="76">
                  <c:v>35.072725646177</c:v>
                </c:pt>
                <c:pt idx="77">
                  <c:v>34.8420250919362</c:v>
                </c:pt>
                <c:pt idx="78">
                  <c:v>34.6243023718267</c:v>
                </c:pt>
                <c:pt idx="79">
                  <c:v>34.4196602842166</c:v>
                </c:pt>
                <c:pt idx="80">
                  <c:v>34.2281931575222</c:v>
                </c:pt>
                <c:pt idx="81">
                  <c:v>34.0499871100166</c:v>
                </c:pt>
                <c:pt idx="82">
                  <c:v>33.8851203021187</c:v>
                </c:pt>
                <c:pt idx="83">
                  <c:v>33.7336631788178</c:v>
                </c:pt>
                <c:pt idx="84">
                  <c:v>33.5956787000627</c:v>
                </c:pt>
                <c:pt idx="85">
                  <c:v>33.4712225571305</c:v>
                </c:pt>
                <c:pt idx="86">
                  <c:v>33.3603433731567</c:v>
                </c:pt>
                <c:pt idx="87">
                  <c:v>33.2630828862085</c:v>
                </c:pt>
                <c:pt idx="88">
                  <c:v>33.1794761134428</c:v>
                </c:pt>
                <c:pt idx="89">
                  <c:v>33.1095514950869</c:v>
                </c:pt>
                <c:pt idx="90">
                  <c:v>33.0533310171424</c:v>
                </c:pt>
                <c:pt idx="91">
                  <c:v>33.0108303119008</c:v>
                </c:pt>
                <c:pt idx="92">
                  <c:v>32.9820587355204</c:v>
                </c:pt>
                <c:pt idx="93">
                  <c:v>32.9670194221008</c:v>
                </c:pt>
                <c:pt idx="94">
                  <c:v>32.9657093138451</c:v>
                </c:pt>
                <c:pt idx="95">
                  <c:v>32.9781191670832</c:v>
                </c:pt>
                <c:pt idx="96">
                  <c:v>33.0042335340925</c:v>
                </c:pt>
                <c:pt idx="97">
                  <c:v>33.04403072082</c:v>
                </c:pt>
                <c:pt idx="98">
                  <c:v>33.0974827207815</c:v>
                </c:pt>
                <c:pt idx="99">
                  <c:v>33.1645551255823</c:v>
                </c:pt>
                <c:pt idx="100">
                  <c:v>33.2452070126734</c:v>
                </c:pt>
                <c:pt idx="101">
                  <c:v>33.3393908111344</c:v>
                </c:pt>
                <c:pt idx="102">
                  <c:v>33.4470521464394</c:v>
                </c:pt>
                <c:pt idx="103">
                  <c:v>33.5681296653466</c:v>
                </c:pt>
                <c:pt idx="104">
                  <c:v>33.7025548422291</c:v>
                </c:pt>
                <c:pt idx="105">
                  <c:v>33.8502517683349</c:v>
                </c:pt>
                <c:pt idx="106">
                  <c:v>34.0111369256548</c:v>
                </c:pt>
                <c:pt idx="107">
                  <c:v>34.1851189472546</c:v>
                </c:pt>
                <c:pt idx="108">
                  <c:v>34.3720983661038</c:v>
                </c:pt>
                <c:pt idx="109">
                  <c:v>34.5719673546147</c:v>
                </c:pt>
                <c:pt idx="110">
                  <c:v>34.7846094572865</c:v>
                </c:pt>
                <c:pt idx="111">
                  <c:v>35.0098993190087</c:v>
                </c:pt>
                <c:pt idx="112">
                  <c:v>35.2477024117557</c:v>
                </c:pt>
                <c:pt idx="113">
                  <c:v>35.4978747625493</c:v>
                </c:pt>
                <c:pt idx="114">
                  <c:v>35.7602626857174</c:v>
                </c:pt>
                <c:pt idx="115">
                  <c:v>36.0347025226052</c:v>
                </c:pt>
                <c:pt idx="116">
                  <c:v>36.3210203920102</c:v>
                </c:pt>
                <c:pt idx="117">
                  <c:v>36.6190319547085</c:v>
                </c:pt>
                <c:pt idx="118">
                  <c:v>36.928542195505</c:v>
                </c:pt>
                <c:pt idx="119">
                  <c:v>37.249345226299</c:v>
                </c:pt>
                <c:pt idx="120">
                  <c:v>37.5812241136575</c:v>
                </c:pt>
                <c:pt idx="121">
                  <c:v>37.9239507343906</c:v>
                </c:pt>
                <c:pt idx="122">
                  <c:v>38.2772856625548</c:v>
                </c:pt>
                <c:pt idx="123">
                  <c:v>38.6409780912441</c:v>
                </c:pt>
                <c:pt idx="124">
                  <c:v>39.0147657923801</c:v>
                </c:pt>
                <c:pt idx="125">
                  <c:v>39.3983751175615</c:v>
                </c:pt>
                <c:pt idx="126">
                  <c:v>39.79152104281</c:v>
                </c:pt>
                <c:pt idx="127">
                  <c:v>40.193907259801</c:v>
                </c:pt>
                <c:pt idx="128">
                  <c:v>40.6052263158734</c:v>
                </c:pt>
                <c:pt idx="129">
                  <c:v>41.0251598047589</c:v>
                </c:pt>
                <c:pt idx="130">
                  <c:v>41.4533786096082</c:v>
                </c:pt>
                <c:pt idx="131">
                  <c:v>41.8895431994584</c:v>
                </c:pt>
                <c:pt idx="132">
                  <c:v>42.3333039798438</c:v>
                </c:pt>
                <c:pt idx="133">
                  <c:v>42.7843016977602</c:v>
                </c:pt>
                <c:pt idx="134">
                  <c:v>43.2421679006908</c:v>
                </c:pt>
                <c:pt idx="135">
                  <c:v>43.7065254488749</c:v>
                </c:pt>
                <c:pt idx="136">
                  <c:v>44.1769890794584</c:v>
                </c:pt>
                <c:pt idx="137">
                  <c:v>44.6531660206287</c:v>
                </c:pt>
                <c:pt idx="138">
                  <c:v>45.1346566532907</c:v>
                </c:pt>
                <c:pt idx="139">
                  <c:v>45.6210552173198</c:v>
                </c:pt>
                <c:pt idx="140">
                  <c:v>46.1119505589178</c:v>
                </c:pt>
                <c:pt idx="141">
                  <c:v>46.6069269151172</c:v>
                </c:pt>
                <c:pt idx="142">
                  <c:v>47.1055647310434</c:v>
                </c:pt>
                <c:pt idx="143">
                  <c:v>47.6074415051426</c:v>
                </c:pt>
                <c:pt idx="144">
                  <c:v>48.1121326572438</c:v>
                </c:pt>
                <c:pt idx="145">
                  <c:v>48.6192124140228</c:v>
                </c:pt>
                <c:pt idx="146">
                  <c:v>49.1282547062307</c:v>
                </c:pt>
                <c:pt idx="147">
                  <c:v>49.6388340718772</c:v>
                </c:pt>
                <c:pt idx="148">
                  <c:v>50.1505265594739</c:v>
                </c:pt>
                <c:pt idx="149">
                  <c:v>50.6629106254385</c:v>
                </c:pt>
                <c:pt idx="150">
                  <c:v>51.1755680197985</c:v>
                </c:pt>
                <c:pt idx="151">
                  <c:v>51.688084654481</c:v>
                </c:pt>
                <c:pt idx="152">
                  <c:v>52.2000514486506</c:v>
                </c:pt>
                <c:pt idx="153">
                  <c:v>52.7110651458331</c:v>
                </c:pt>
                <c:pt idx="154">
                  <c:v>53.2207290978719</c:v>
                </c:pt>
                <c:pt idx="155">
                  <c:v>53.7286540111385</c:v>
                </c:pt>
                <c:pt idx="156">
                  <c:v>54.2344586508397</c:v>
                </c:pt>
                <c:pt idx="157">
                  <c:v>54.7377704997226</c:v>
                </c:pt>
                <c:pt idx="158">
                  <c:v>55.2382263679572</c:v>
                </c:pt>
                <c:pt idx="159">
                  <c:v>55.7354729515049</c:v>
                </c:pt>
                <c:pt idx="160">
                  <c:v>56.22916733679</c:v>
                </c:pt>
                <c:pt idx="161">
                  <c:v>56.7189774500329</c:v>
                </c:pt>
                <c:pt idx="162">
                  <c:v>57.2045824501282</c:v>
                </c:pt>
                <c:pt idx="163">
                  <c:v>57.6856730644711</c:v>
                </c:pt>
                <c:pt idx="164">
                  <c:v>58.1619518676376</c:v>
                </c:pt>
                <c:pt idx="165">
                  <c:v>58.6331335033</c:v>
                </c:pt>
                <c:pt idx="166">
                  <c:v>59.0989448502179</c:v>
                </c:pt>
                <c:pt idx="167">
                  <c:v>59.5591251335491</c:v>
                </c:pt>
                <c:pt idx="168">
                  <c:v>60.0134259831165</c:v>
                </c:pt>
                <c:pt idx="169">
                  <c:v>60.4616114405947</c:v>
                </c:pt>
                <c:pt idx="170">
                  <c:v>60.9034579178938</c:v>
                </c:pt>
                <c:pt idx="171">
                  <c:v>61.3387541092516</c:v>
                </c:pt>
                <c:pt idx="172">
                  <c:v>61.7673008597757</c:v>
                </c:pt>
                <c:pt idx="173">
                  <c:v>62.1889109933359</c:v>
                </c:pt>
                <c:pt idx="174">
                  <c:v>62.6034091028316</c:v>
                </c:pt>
                <c:pt idx="175">
                  <c:v>63.0106313059578</c:v>
                </c:pt>
                <c:pt idx="176">
                  <c:v>63.4104249696228</c:v>
                </c:pt>
                <c:pt idx="177">
                  <c:v>63.8026484062078</c:v>
                </c:pt>
                <c:pt idx="178">
                  <c:v>64.1871705448197</c:v>
                </c:pt>
                <c:pt idx="179">
                  <c:v>64.5638705806524</c:v>
                </c:pt>
                <c:pt idx="180">
                  <c:v>64.9326376054933</c:v>
                </c:pt>
                <c:pt idx="181">
                  <c:v>65.2933702223237</c:v>
                </c:pt>
                <c:pt idx="182">
                  <c:v>65.6459761468319</c:v>
                </c:pt>
                <c:pt idx="183">
                  <c:v>65.9903717985416</c:v>
                </c:pt>
                <c:pt idx="184">
                  <c:v>66.3264818841086</c:v>
                </c:pt>
                <c:pt idx="185">
                  <c:v>66.6542389751787</c:v>
                </c:pt>
                <c:pt idx="186">
                  <c:v>66.9735830830537</c:v>
                </c:pt>
                <c:pt idx="187">
                  <c:v>67.2844612322289</c:v>
                </c:pt>
                <c:pt idx="188">
                  <c:v>67.586827034716</c:v>
                </c:pt>
                <c:pt idx="189">
                  <c:v>67.8806402668834</c:v>
                </c:pt>
                <c:pt idx="190">
                  <c:v>68.1658664503873</c:v>
                </c:pt>
                <c:pt idx="191">
                  <c:v>68.4424764386051</c:v>
                </c:pt>
                <c:pt idx="192">
                  <c:v>68.7104460098219</c:v>
                </c:pt>
                <c:pt idx="193">
                  <c:v>68.9697554682691</c:v>
                </c:pt>
                <c:pt idx="194">
                  <c:v>69.2203892539735</c:v>
                </c:pt>
                <c:pt idx="195">
                  <c:v>69.4623355622312</c:v>
                </c:pt>
                <c:pt idx="196">
                  <c:v>69.6955859733982</c:v>
                </c:pt>
                <c:pt idx="197">
                  <c:v>69.9201350935634</c:v>
                </c:pt>
                <c:pt idx="198">
                  <c:v>70.1359802065571</c:v>
                </c:pt>
                <c:pt idx="199">
                  <c:v>70.343120937655</c:v>
                </c:pt>
                <c:pt idx="200">
                  <c:v>70.5415589292229</c:v>
                </c:pt>
                <c:pt idx="201">
                  <c:v>70.7312975284818</c:v>
                </c:pt>
                <c:pt idx="202">
                  <c:v>70.9123414874854</c:v>
                </c:pt>
                <c:pt idx="203">
                  <c:v>71.0846966753286</c:v>
                </c:pt>
                <c:pt idx="204">
                  <c:v>71.2483698025547</c:v>
                </c:pt>
                <c:pt idx="205">
                  <c:v>71.4033681576659</c:v>
                </c:pt>
                <c:pt idx="206">
                  <c:v>71.5496993555989</c:v>
                </c:pt>
                <c:pt idx="207">
                  <c:v>71.6873710979848</c:v>
                </c:pt>
                <c:pt idx="208">
                  <c:v>71.8163909449817</c:v>
                </c:pt>
                <c:pt idx="209">
                  <c:v>71.9367660984357</c:v>
                </c:pt>
                <c:pt idx="210">
                  <c:v>72.0485031961072</c:v>
                </c:pt>
                <c:pt idx="211">
                  <c:v>72.1516081166814</c:v>
                </c:pt>
                <c:pt idx="212">
                  <c:v>72.2460857952636</c:v>
                </c:pt>
                <c:pt idx="213">
                  <c:v>72.331940049061</c:v>
                </c:pt>
                <c:pt idx="214">
                  <c:v>72.4091734129375</c:v>
                </c:pt>
                <c:pt idx="215">
                  <c:v>72.4777869845333</c:v>
                </c:pt>
                <c:pt idx="216">
                  <c:v>72.5377802786423</c:v>
                </c:pt>
                <c:pt idx="217">
                  <c:v>72.5891510905398</c:v>
                </c:pt>
                <c:pt idx="218">
                  <c:v>72.6318953679686</c:v>
                </c:pt>
                <c:pt idx="219">
                  <c:v>72.666007091496</c:v>
                </c:pt>
                <c:pt idx="220">
                  <c:v>72.691478162964</c:v>
                </c:pt>
                <c:pt idx="221">
                  <c:v>72.708298301778</c:v>
                </c:pt>
                <c:pt idx="222">
                  <c:v>72.7164549487818</c:v>
                </c:pt>
                <c:pt idx="223">
                  <c:v>72.7159331774977</c:v>
                </c:pt>
                <c:pt idx="224">
                  <c:v>72.706715612514</c:v>
                </c:pt>
                <c:pt idx="225">
                  <c:v>72.6887823548367</c:v>
                </c:pt>
                <c:pt idx="226">
                  <c:v>72.662110914031</c:v>
                </c:pt>
                <c:pt idx="227">
                  <c:v>72.6266761470043</c:v>
                </c:pt>
                <c:pt idx="228">
                  <c:v>72.5824502033076</c:v>
                </c:pt>
                <c:pt idx="229">
                  <c:v>72.5294024768495</c:v>
                </c:pt>
                <c:pt idx="230">
                  <c:v>72.4674995639467</c:v>
                </c:pt>
                <c:pt idx="231">
                  <c:v>72.3967052276543</c:v>
                </c:pt>
                <c:pt idx="232">
                  <c:v>72.3169803683475</c:v>
                </c:pt>
                <c:pt idx="233">
                  <c:v>72.2282830005531</c:v>
                </c:pt>
                <c:pt idx="234">
                  <c:v>72.1305682360497</c:v>
                </c:pt>
                <c:pt idx="235">
                  <c:v>72.0237882732893</c:v>
                </c:pt>
                <c:pt idx="236">
                  <c:v>71.9078923932134</c:v>
                </c:pt>
                <c:pt idx="237">
                  <c:v>71.7828269615676</c:v>
                </c:pt>
                <c:pt idx="238">
                  <c:v>71.6485354378432</c:v>
                </c:pt>
                <c:pt idx="239">
                  <c:v>71.504958391008</c:v>
                </c:pt>
                <c:pt idx="240">
                  <c:v>71.3520335222033</c:v>
                </c:pt>
                <c:pt idx="241">
                  <c:v>71.1896956946285</c:v>
                </c:pt>
                <c:pt idx="242">
                  <c:v>71.0178769708447</c:v>
                </c:pt>
                <c:pt idx="243">
                  <c:v>70.8365066577707</c:v>
                </c:pt>
                <c:pt idx="244">
                  <c:v>70.645511359659</c:v>
                </c:pt>
                <c:pt idx="245">
                  <c:v>70.4448150393751</c:v>
                </c:pt>
                <c:pt idx="246">
                  <c:v>70.2343390883211</c:v>
                </c:pt>
                <c:pt idx="247">
                  <c:v>70.0140024053726</c:v>
                </c:pt>
                <c:pt idx="248">
                  <c:v>69.7837214852219</c:v>
                </c:pt>
                <c:pt idx="249">
                  <c:v>69.5434105165344</c:v>
                </c:pt>
                <c:pt idx="250">
                  <c:v>69.2929814903545</c:v>
                </c:pt>
                <c:pt idx="251">
                  <c:v>69.0323443192039</c:v>
                </c:pt>
                <c:pt idx="252">
                  <c:v>68.7614069673391</c:v>
                </c:pt>
                <c:pt idx="253">
                  <c:v>68.4800755926351</c:v>
                </c:pt>
                <c:pt idx="254">
                  <c:v>68.1882547005773</c:v>
                </c:pt>
                <c:pt idx="255">
                  <c:v>67.8858473108457</c:v>
                </c:pt>
                <c:pt idx="256">
                  <c:v>67.5727551369658</c:v>
                </c:pt>
                <c:pt idx="257">
                  <c:v>67.2488787795048</c:v>
                </c:pt>
                <c:pt idx="258">
                  <c:v>66.914117933264</c:v>
                </c:pt>
                <c:pt idx="259">
                  <c:v>66.5683716089101</c:v>
                </c:pt>
                <c:pt idx="260">
                  <c:v>66.21153836945</c:v>
                </c:pt>
                <c:pt idx="261">
                  <c:v>65.8435165819203</c:v>
                </c:pt>
                <c:pt idx="262">
                  <c:v>65.4642046846155</c:v>
                </c:pt>
                <c:pt idx="263">
                  <c:v>65.0735014701238</c:v>
                </c:pt>
                <c:pt idx="264">
                  <c:v>64.6713063843662</c:v>
                </c:pt>
                <c:pt idx="265">
                  <c:v>64.2575198417619</c:v>
                </c:pt>
                <c:pt idx="266">
                  <c:v>63.8320435565499</c:v>
                </c:pt>
                <c:pt idx="267">
                  <c:v>63.3947808901872</c:v>
                </c:pt>
                <c:pt idx="268">
                  <c:v>62.9456372146335</c:v>
                </c:pt>
                <c:pt idx="269">
                  <c:v>62.4845202911966</c:v>
                </c:pt>
                <c:pt idx="270">
                  <c:v>62.0113406644686</c:v>
                </c:pt>
                <c:pt idx="271">
                  <c:v>61.5260120707236</c:v>
                </c:pt>
                <c:pt idx="272">
                  <c:v>61.0284518599738</c:v>
                </c:pt>
                <c:pt idx="273">
                  <c:v>60.5185814306995</c:v>
                </c:pt>
                <c:pt idx="274">
                  <c:v>59.9963266760642</c:v>
                </c:pt>
                <c:pt idx="275">
                  <c:v>59.4616184402194</c:v>
                </c:pt>
                <c:pt idx="276">
                  <c:v>58.9143929830919</c:v>
                </c:pt>
                <c:pt idx="277">
                  <c:v>58.3545924518064</c:v>
                </c:pt>
                <c:pt idx="278">
                  <c:v>57.7821653566769</c:v>
                </c:pt>
                <c:pt idx="279">
                  <c:v>57.1970670494656</c:v>
                </c:pt>
                <c:pt idx="280">
                  <c:v>56.5992602013626</c:v>
                </c:pt>
                <c:pt idx="281">
                  <c:v>55.9887152779313</c:v>
                </c:pt>
                <c:pt idx="282">
                  <c:v>55.3654110080247</c:v>
                </c:pt>
                <c:pt idx="283">
                  <c:v>54.729334843482</c:v>
                </c:pt>
                <c:pt idx="284">
                  <c:v>54.0804834062185</c:v>
                </c:pt>
                <c:pt idx="285">
                  <c:v>53.4188629191565</c:v>
                </c:pt>
                <c:pt idx="286">
                  <c:v>52.7444896173009</c:v>
                </c:pt>
                <c:pt idx="287">
                  <c:v>52.0573901351562</c:v>
                </c:pt>
                <c:pt idx="288">
                  <c:v>51.3576018666075</c:v>
                </c:pt>
                <c:pt idx="289">
                  <c:v>50.6451732933573</c:v>
                </c:pt>
                <c:pt idx="290">
                  <c:v>49.9201642780329</c:v>
                </c:pt>
                <c:pt idx="291">
                  <c:v>49.1826463181337</c:v>
                </c:pt>
                <c:pt idx="292">
                  <c:v>48.4327027571225</c:v>
                </c:pt>
                <c:pt idx="293">
                  <c:v>47.6704289491329</c:v>
                </c:pt>
                <c:pt idx="294">
                  <c:v>46.8959323740044</c:v>
                </c:pt>
                <c:pt idx="295">
                  <c:v>46.1093326996534</c:v>
                </c:pt>
                <c:pt idx="296">
                  <c:v>45.3107617891418</c:v>
                </c:pt>
                <c:pt idx="297">
                  <c:v>44.5003636502189</c:v>
                </c:pt>
                <c:pt idx="298">
                  <c:v>43.6782943255773</c:v>
                </c:pt>
                <c:pt idx="299">
                  <c:v>42.8447217225875</c:v>
                </c:pt>
                <c:pt idx="300">
                  <c:v>41.9998253818322</c:v>
                </c:pt>
                <c:pt idx="301">
                  <c:v>41.1437961843737</c:v>
                </c:pt>
                <c:pt idx="302">
                  <c:v>40.2768359983216</c:v>
                </c:pt>
                <c:pt idx="303">
                  <c:v>39.3991572659154</c:v>
                </c:pt>
                <c:pt idx="304">
                  <c:v>38.5109825330258</c:v>
                </c:pt>
                <c:pt idx="305">
                  <c:v>37.6125439236411</c:v>
                </c:pt>
                <c:pt idx="306">
                  <c:v>36.7040825625746</c:v>
                </c:pt>
                <c:pt idx="307">
                  <c:v>35.785847950276</c:v>
                </c:pt>
                <c:pt idx="308">
                  <c:v>34.8580972942491</c:v>
                </c:pt>
                <c:pt idx="309">
                  <c:v>33.9210948021532</c:v>
                </c:pt>
                <c:pt idx="310">
                  <c:v>32.9751109421855</c:v>
                </c:pt>
                <c:pt idx="311">
                  <c:v>32.0204216768212</c:v>
                </c:pt>
                <c:pt idx="312">
                  <c:v>31.0573076763497</c:v>
                </c:pt>
                <c:pt idx="313">
                  <c:v>30.0860535190051</c:v>
                </c:pt>
                <c:pt idx="314">
                  <c:v>29.1069468846732</c:v>
                </c:pt>
                <c:pt idx="315">
                  <c:v>28.1202777493434</c:v>
                </c:pt>
                <c:pt idx="316">
                  <c:v>27.1263375874921</c:v>
                </c:pt>
                <c:pt idx="317">
                  <c:v>26.1254185895636</c:v>
                </c:pt>
                <c:pt idx="318">
                  <c:v>25.1178129015776</c:v>
                </c:pt>
                <c:pt idx="319">
                  <c:v>24.1038118936588</c:v>
                </c:pt>
                <c:pt idx="320">
                  <c:v>23.0837054639783</c:v>
                </c:pt>
                <c:pt idx="321">
                  <c:v>22.0577813842119</c:v>
                </c:pt>
                <c:pt idx="322">
                  <c:v>21.0263246921349</c:v>
                </c:pt>
                <c:pt idx="323">
                  <c:v>19.9896171364422</c:v>
                </c:pt>
                <c:pt idx="324">
                  <c:v>18.9479366782928</c:v>
                </c:pt>
                <c:pt idx="325">
                  <c:v>17.901557053415</c:v>
                </c:pt>
                <c:pt idx="326">
                  <c:v>16.8507473979361</c:v>
                </c:pt>
                <c:pt idx="327">
                  <c:v>15.7957719403612</c:v>
                </c:pt>
                <c:pt idx="328">
                  <c:v>14.7368897614027</c:v>
                </c:pt>
                <c:pt idx="329">
                  <c:v>13.6743546225998</c:v>
                </c:pt>
                <c:pt idx="330">
                  <c:v>12.6084148639197</c:v>
                </c:pt>
                <c:pt idx="331">
                  <c:v>11.539313369776</c:v>
                </c:pt>
                <c:pt idx="332">
                  <c:v>10.4672876021914</c:v>
                </c:pt>
                <c:pt idx="333">
                  <c:v>9.39256969910059</c:v>
                </c:pt>
                <c:pt idx="334">
                  <c:v>8.31538663514786</c:v>
                </c:pt>
                <c:pt idx="335">
                  <c:v>7.23596044166647</c:v>
                </c:pt>
                <c:pt idx="336">
                  <c:v>6.15450848197145</c:v>
                </c:pt>
                <c:pt idx="337">
                  <c:v>5.07124377751886</c:v>
                </c:pt>
                <c:pt idx="338">
                  <c:v>3.98637538003176</c:v>
                </c:pt>
                <c:pt idx="339">
                  <c:v>2.90010878423484</c:v>
                </c:pt>
                <c:pt idx="340">
                  <c:v>1.81264637547759</c:v>
                </c:pt>
                <c:pt idx="341">
                  <c:v>0.724187906208616</c:v>
                </c:pt>
                <c:pt idx="342">
                  <c:v>-0.365069004979696</c:v>
                </c:pt>
                <c:pt idx="343">
                  <c:v>-1.45492835821309</c:v>
                </c:pt>
                <c:pt idx="344">
                  <c:v>-2.54519524769502</c:v>
                </c:pt>
                <c:pt idx="345">
                  <c:v>-3.63567533422125</c:v>
                </c:pt>
                <c:pt idx="346">
                  <c:v>-4.72617432148816</c:v>
                </c:pt>
                <c:pt idx="347">
                  <c:v>-5.81649744277947</c:v>
                </c:pt>
                <c:pt idx="348">
                  <c:v>-6.90644896446889</c:v>
                </c:pt>
                <c:pt idx="349">
                  <c:v>-7.99583171259152</c:v>
                </c:pt>
                <c:pt idx="350">
                  <c:v>-9.08444662847176</c:v>
                </c:pt>
                <c:pt idx="351">
                  <c:v>-10.172092359093</c:v>
                </c:pt>
                <c:pt idx="352">
                  <c:v>-11.2585648875127</c:v>
                </c:pt>
                <c:pt idx="353">
                  <c:v>-12.3436572082093</c:v>
                </c:pt>
                <c:pt idx="354">
                  <c:v>-13.4271590517745</c:v>
                </c:pt>
                <c:pt idx="355">
                  <c:v>-14.5088566628321</c:v>
                </c:pt>
                <c:pt idx="356">
                  <c:v>-15.5885326345215</c:v>
                </c:pt>
                <c:pt idx="357">
                  <c:v>-16.6659658022598</c:v>
                </c:pt>
                <c:pt idx="358">
                  <c:v>-17.7409311988894</c:v>
                </c:pt>
                <c:pt idx="359">
                  <c:v>-18.8132000726388</c:v>
                </c:pt>
                <c:pt idx="360">
                  <c:v>-19.8825399686669</c:v>
                </c:pt>
                <c:pt idx="361">
                  <c:v>-20.9487148742617</c:v>
                </c:pt>
                <c:pt idx="362">
                  <c:v>-22.011485427092</c:v>
                </c:pt>
                <c:pt idx="363">
                  <c:v>-23.0706091852031</c:v>
                </c:pt>
                <c:pt idx="364">
                  <c:v>-24.1258409568071</c:v>
                </c:pt>
                <c:pt idx="365">
                  <c:v>-25.1769331872459</c:v>
                </c:pt>
                <c:pt idx="366">
                  <c:v>-26.2236363999059</c:v>
                </c:pt>
                <c:pt idx="367">
                  <c:v>-27.2656996872859</c:v>
                </c:pt>
                <c:pt idx="368">
                  <c:v>-28.3028712478796</c:v>
                </c:pt>
                <c:pt idx="369">
                  <c:v>-29.3348989640805</c:v>
                </c:pt>
                <c:pt idx="370">
                  <c:v>-30.3615310158857</c:v>
                </c:pt>
                <c:pt idx="371">
                  <c:v>-31.3825165248532</c:v>
                </c:pt>
                <c:pt idx="372">
                  <c:v>-32.3976062224744</c:v>
                </c:pt>
                <c:pt idx="373">
                  <c:v>-33.4065531369401</c:v>
                </c:pt>
                <c:pt idx="374">
                  <c:v>-34.4091132921656</c:v>
                </c:pt>
                <c:pt idx="375">
                  <c:v>-35.4050464128809</c:v>
                </c:pt>
                <c:pt idx="376">
                  <c:v>-36.3941166296526</c:v>
                </c:pt>
                <c:pt idx="377">
                  <c:v>-37.3760931778065</c:v>
                </c:pt>
                <c:pt idx="378">
                  <c:v>-38.3507510844069</c:v>
                </c:pt>
                <c:pt idx="379">
                  <c:v>-39.3178718377115</c:v>
                </c:pt>
                <c:pt idx="380">
                  <c:v>-40.2772440338269</c:v>
                </c:pt>
                <c:pt idx="381">
                  <c:v>-41.2286639956757</c:v>
                </c:pt>
                <c:pt idx="382">
                  <c:v>-42.171936359801</c:v>
                </c:pt>
                <c:pt idx="383">
                  <c:v>-43.1068746269915</c:v>
                </c:pt>
                <c:pt idx="384">
                  <c:v>-44.0333016732223</c:v>
                </c:pt>
                <c:pt idx="385">
                  <c:v>-44.9510502178987</c:v>
                </c:pt>
                <c:pt idx="386">
                  <c:v>-45.8599632469403</c:v>
                </c:pt>
                <c:pt idx="387">
                  <c:v>-46.7598943887772</c:v>
                </c:pt>
                <c:pt idx="388">
                  <c:v>-47.6507082418528</c:v>
                </c:pt>
                <c:pt idx="389">
                  <c:v>-48.5322806527672</c:v>
                </c:pt>
                <c:pt idx="390">
                  <c:v>-49.40449894469</c:v>
                </c:pt>
                <c:pt idx="391">
                  <c:v>-50.2672620961648</c:v>
                </c:pt>
                <c:pt idx="392">
                  <c:v>-51.1204808708706</c:v>
                </c:pt>
                <c:pt idx="393">
                  <c:v>-51.9640778993348</c:v>
                </c:pt>
                <c:pt idx="394">
                  <c:v>-52.7979877139721</c:v>
                </c:pt>
                <c:pt idx="395">
                  <c:v>-53.6221567391607</c:v>
                </c:pt>
                <c:pt idx="396">
                  <c:v>-54.4365432383802</c:v>
                </c:pt>
                <c:pt idx="397">
                  <c:v>-55.2411172206749</c:v>
                </c:pt>
                <c:pt idx="398">
                  <c:v>-56.0358603089382</c:v>
                </c:pt>
                <c:pt idx="399">
                  <c:v>-56.820765572672</c:v>
                </c:pt>
                <c:pt idx="400">
                  <c:v>-57.5958373280091</c:v>
                </c:pt>
                <c:pt idx="401">
                  <c:v>-58.3610909078788</c:v>
                </c:pt>
                <c:pt idx="402">
                  <c:v>-59.1165524052397</c:v>
                </c:pt>
                <c:pt idx="403">
                  <c:v>-59.8622583923336</c:v>
                </c:pt>
                <c:pt idx="404">
                  <c:v>-60.5982556188896</c:v>
                </c:pt>
                <c:pt idx="405">
                  <c:v>-61.3246006921662</c:v>
                </c:pt>
                <c:pt idx="406">
                  <c:v>-62.0413597416556</c:v>
                </c:pt>
                <c:pt idx="407">
                  <c:v>-62.7486080711744</c:v>
                </c:pt>
                <c:pt idx="408">
                  <c:v>-63.4464298009665</c:v>
                </c:pt>
                <c:pt idx="409">
                  <c:v>-64.1349175023063</c:v>
                </c:pt>
                <c:pt idx="410">
                  <c:v>-64.8141718269617</c:v>
                </c:pt>
                <c:pt idx="411">
                  <c:v>-65.4843011337215</c:v>
                </c:pt>
                <c:pt idx="412">
                  <c:v>-66.1454211140424</c:v>
                </c:pt>
                <c:pt idx="413">
                  <c:v>-66.7976544187083</c:v>
                </c:pt>
                <c:pt idx="414">
                  <c:v>-67.441130287232</c:v>
                </c:pt>
                <c:pt idx="415">
                  <c:v>-68.0759841815737</c:v>
                </c:pt>
                <c:pt idx="416">
                  <c:v>-68.7023574255821</c:v>
                </c:pt>
                <c:pt idx="417">
                  <c:v>-69.3203968514147</c:v>
                </c:pt>
                <c:pt idx="418">
                  <c:v>-69.930254454037</c:v>
                </c:pt>
                <c:pt idx="419">
                  <c:v>-70.5320870547546</c:v>
                </c:pt>
                <c:pt idx="420">
                  <c:v>-71.1260559745938</c:v>
                </c:pt>
                <c:pt idx="421">
                  <c:v>-71.7123267182111</c:v>
                </c:pt>
                <c:pt idx="422">
                  <c:v>-72.2910686688841</c:v>
                </c:pt>
                <c:pt idx="423">
                  <c:v>-72.8624547950251</c:v>
                </c:pt>
                <c:pt idx="424">
                  <c:v>-73.4266613685458</c:v>
                </c:pt>
                <c:pt idx="425">
                  <c:v>-73.9838676952936</c:v>
                </c:pt>
                <c:pt idx="426">
                  <c:v>-74.5342558577026</c:v>
                </c:pt>
                <c:pt idx="427">
                  <c:v>-75.0780104696995</c:v>
                </c:pt>
                <c:pt idx="428">
                  <c:v>-75.6153184438416</c:v>
                </c:pt>
                <c:pt idx="429">
                  <c:v>-76.1463687705852</c:v>
                </c:pt>
                <c:pt idx="430">
                  <c:v>-76.6713523095236</c:v>
                </c:pt>
                <c:pt idx="431">
                  <c:v>-77.1904615923804</c:v>
                </c:pt>
                <c:pt idx="432">
                  <c:v>-77.703890637488</c:v>
                </c:pt>
                <c:pt idx="433">
                  <c:v>-78.2118347754456</c:v>
                </c:pt>
                <c:pt idx="434">
                  <c:v>-78.7144904856059</c:v>
                </c:pt>
                <c:pt idx="435">
                  <c:v>-79.2120552430134</c:v>
                </c:pt>
                <c:pt idx="436">
                  <c:v>-79.7047273753832</c:v>
                </c:pt>
                <c:pt idx="437">
                  <c:v>-80.1927059296907</c:v>
                </c:pt>
                <c:pt idx="438">
                  <c:v>-80.6761905479197</c:v>
                </c:pt>
                <c:pt idx="439">
                  <c:v>-81.1553813514999</c:v>
                </c:pt>
                <c:pt idx="440">
                  <c:v>-81.6304788339515</c:v>
                </c:pt>
                <c:pt idx="441">
                  <c:v>-82.1016837612473</c:v>
                </c:pt>
                <c:pt idx="442">
                  <c:v>-82.5691970793867</c:v>
                </c:pt>
                <c:pt idx="443">
                  <c:v>-83.0332198286796</c:v>
                </c:pt>
                <c:pt idx="444">
                  <c:v>-83.493953064221</c:v>
                </c:pt>
                <c:pt idx="445">
                  <c:v>-83.9515977820497</c:v>
                </c:pt>
                <c:pt idx="446">
                  <c:v>-84.4063548504654</c:v>
                </c:pt>
                <c:pt idx="447">
                  <c:v>-84.8584249459918</c:v>
                </c:pt>
                <c:pt idx="448">
                  <c:v>-85.3080084934624</c:v>
                </c:pt>
                <c:pt idx="449">
                  <c:v>-85.7553056097138</c:v>
                </c:pt>
                <c:pt idx="450">
                  <c:v>-86.2005160503662</c:v>
                </c:pt>
                <c:pt idx="451">
                  <c:v>-86.6438391591747</c:v>
                </c:pt>
                <c:pt idx="452">
                  <c:v>-87.0854738194351</c:v>
                </c:pt>
                <c:pt idx="453">
                  <c:v>-87.5256184069286</c:v>
                </c:pt>
                <c:pt idx="454">
                  <c:v>-87.9644707438926</c:v>
                </c:pt>
                <c:pt idx="455">
                  <c:v>-88.4022280535012</c:v>
                </c:pt>
                <c:pt idx="456">
                  <c:v>-88.8390869143464</c:v>
                </c:pt>
                <c:pt idx="457">
                  <c:v>-89.2752432144051</c:v>
                </c:pt>
                <c:pt idx="458">
                  <c:v>-89.7108921039805</c:v>
                </c:pt>
                <c:pt idx="459">
                  <c:v>-90.1462279471072</c:v>
                </c:pt>
                <c:pt idx="460">
                  <c:v>-90.5814442709073</c:v>
                </c:pt>
                <c:pt idx="461">
                  <c:v>-91.0167337123859</c:v>
                </c:pt>
                <c:pt idx="462">
                  <c:v>-91.4522879621535</c:v>
                </c:pt>
                <c:pt idx="463">
                  <c:v>-91.8882977045656</c:v>
                </c:pt>
                <c:pt idx="464">
                  <c:v>-92.3249525537639</c:v>
                </c:pt>
                <c:pt idx="465">
                  <c:v>-92.7624409851112</c:v>
                </c:pt>
                <c:pt idx="466">
                  <c:v>-93.2009502615085</c:v>
                </c:pt>
                <c:pt idx="467">
                  <c:v>-93.6406663540835</c:v>
                </c:pt>
                <c:pt idx="468">
                  <c:v>-94.0817738567488</c:v>
                </c:pt>
                <c:pt idx="469">
                  <c:v>-94.5244558941202</c:v>
                </c:pt>
                <c:pt idx="470">
                  <c:v>-94.9688940223044</c:v>
                </c:pt>
                <c:pt idx="471">
                  <c:v>-95.4152681220577</c:v>
                </c:pt>
                <c:pt idx="472">
                  <c:v>-95.8637562838363</c:v>
                </c:pt>
                <c:pt idx="473">
                  <c:v>-96.3145346842633</c:v>
                </c:pt>
                <c:pt idx="474">
                  <c:v>-96.7677774535522</c:v>
                </c:pt>
                <c:pt idx="475">
                  <c:v>-97.2236565334421</c:v>
                </c:pt>
                <c:pt idx="476">
                  <c:v>-97.682341525219</c:v>
                </c:pt>
                <c:pt idx="477">
                  <c:v>-98.1439995274203</c:v>
                </c:pt>
                <c:pt idx="478">
                  <c:v>-98.608794962844</c:v>
                </c:pt>
                <c:pt idx="479">
                  <c:v>-99.0768893945208</c:v>
                </c:pt>
                <c:pt idx="480">
                  <c:v>-99.5484413303349</c:v>
                </c:pt>
                <c:pt idx="481">
                  <c:v>-100.023606016029</c:v>
                </c:pt>
                <c:pt idx="482">
                  <c:v>-100.502535216369</c:v>
                </c:pt>
                <c:pt idx="483">
                  <c:v>-100.985376984308</c:v>
                </c:pt>
                <c:pt idx="484">
                  <c:v>-101.472275418026</c:v>
                </c:pt>
                <c:pt idx="485">
                  <c:v>-101.963370405823</c:v>
                </c:pt>
                <c:pt idx="486">
                  <c:v>-102.458797358892</c:v>
                </c:pt>
                <c:pt idx="487">
                  <c:v>-102.958686932081</c:v>
                </c:pt>
                <c:pt idx="488">
                  <c:v>-103.46316473286</c:v>
                </c:pt>
                <c:pt idx="489">
                  <c:v>-103.972351018796</c:v>
                </c:pt>
                <c:pt idx="490">
                  <c:v>-104.486360383946</c:v>
                </c:pt>
                <c:pt idx="491">
                  <c:v>-105.0053014347</c:v>
                </c:pt>
                <c:pt idx="492">
                  <c:v>-105.52927645572</c:v>
                </c:pt>
                <c:pt idx="493">
                  <c:v>-106.058381066764</c:v>
                </c:pt>
                <c:pt idx="494">
                  <c:v>-106.59270387132</c:v>
                </c:pt>
                <c:pt idx="495">
                  <c:v>-107.132326098116</c:v>
                </c:pt>
                <c:pt idx="496">
                  <c:v>-107.677321236736</c:v>
                </c:pt>
                <c:pt idx="497">
                  <c:v>-108.227754668727</c:v>
                </c:pt>
                <c:pt idx="498">
                  <c:v>-108.783683295742</c:v>
                </c:pt>
                <c:pt idx="499">
                  <c:v>-109.345155166441</c:v>
                </c:pt>
                <c:pt idx="500">
                  <c:v>-109.912209104031</c:v>
                </c:pt>
                <c:pt idx="501">
                  <c:v>-110.484874336507</c:v>
                </c:pt>
                <c:pt idx="502">
                  <c:v>-111.063170131804</c:v>
                </c:pt>
                <c:pt idx="503">
                  <c:v>-111.647105440262</c:v>
                </c:pt>
                <c:pt idx="504">
                  <c:v>-112.236678546916</c:v>
                </c:pt>
                <c:pt idx="505">
                  <c:v>-112.831876736336</c:v>
                </c:pt>
                <c:pt idx="506">
                  <c:v>-113.432675972785</c:v>
                </c:pt>
                <c:pt idx="507">
                  <c:v>-114.039040598669</c:v>
                </c:pt>
                <c:pt idx="508">
                  <c:v>-114.650923054297</c:v>
                </c:pt>
                <c:pt idx="509">
                  <c:v>-115.268263622049</c:v>
                </c:pt>
                <c:pt idx="510">
                  <c:v>-115.890990198116</c:v>
                </c:pt>
                <c:pt idx="511">
                  <c:v>-116.519018094988</c:v>
                </c:pt>
                <c:pt idx="512">
                  <c:v>-117.152249877855</c:v>
                </c:pt>
                <c:pt idx="513">
                  <c:v>-117.790575238028</c:v>
                </c:pt>
                <c:pt idx="514">
                  <c:v>-118.433870906419</c:v>
                </c:pt>
                <c:pt idx="515">
                  <c:v>-119.08200060999</c:v>
                </c:pt>
                <c:pt idx="516">
                  <c:v>-119.734815073901</c:v>
                </c:pt>
                <c:pt idx="517">
                  <c:v>-120.392152071893</c:v>
                </c:pt>
                <c:pt idx="518">
                  <c:v>-121.053836527178</c:v>
                </c:pt>
                <c:pt idx="519">
                  <c:v>-121.719680665829</c:v>
                </c:pt>
                <c:pt idx="520">
                  <c:v>-122.389484224289</c:v>
                </c:pt>
                <c:pt idx="521">
                  <c:v>-123.063034712289</c:v>
                </c:pt>
                <c:pt idx="522">
                  <c:v>-123.740107732002</c:v>
                </c:pt>
                <c:pt idx="523">
                  <c:v>-124.420467353833</c:v>
                </c:pt>
                <c:pt idx="524">
                  <c:v>-125.103866548776</c:v>
                </c:pt>
                <c:pt idx="525">
                  <c:v>-125.790047676738</c:v>
                </c:pt>
                <c:pt idx="526">
                  <c:v>-126.478743029725</c:v>
                </c:pt>
                <c:pt idx="527">
                  <c:v>-127.16967542827</c:v>
                </c:pt>
                <c:pt idx="528">
                  <c:v>-127.862558868914</c:v>
                </c:pt>
                <c:pt idx="529">
                  <c:v>-128.557099220055</c:v>
                </c:pt>
                <c:pt idx="530">
                  <c:v>-129.252994962942</c:v>
                </c:pt>
                <c:pt idx="531">
                  <c:v>-129.949937974125</c:v>
                </c:pt>
                <c:pt idx="532">
                  <c:v>-130.647614345173</c:v>
                </c:pt>
                <c:pt idx="533">
                  <c:v>-131.345705235076</c:v>
                </c:pt>
                <c:pt idx="534">
                  <c:v>-132.043887750371</c:v>
                </c:pt>
                <c:pt idx="535">
                  <c:v>-132.741835847676</c:v>
                </c:pt>
                <c:pt idx="536">
                  <c:v>-133.439221253075</c:v>
                </c:pt>
                <c:pt idx="537">
                  <c:v>-134.135714392603</c:v>
                </c:pt>
                <c:pt idx="538">
                  <c:v>-134.830985327908</c:v>
                </c:pt>
                <c:pt idx="539">
                  <c:v>-135.524704691136</c:v>
                </c:pt>
                <c:pt idx="540">
                  <c:v>-136.216544613075</c:v>
                </c:pt>
                <c:pt idx="541">
                  <c:v>-136.906179638684</c:v>
                </c:pt>
              </c:numCache>
            </c:numRef>
          </c:yVal>
          <c:smooth val="1"/>
        </c:ser>
        <c:dLbls>
          <c:showLegendKey val="0"/>
          <c:showVal val="0"/>
          <c:showCatName val="0"/>
          <c:showSerName val="0"/>
          <c:showPercent val="0"/>
          <c:showBubbleSize val="0"/>
        </c:dLbls>
        <c:axId val="178971776"/>
        <c:axId val="178961792"/>
      </c:scatterChart>
      <c:valAx>
        <c:axId val="178953600"/>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59872"/>
        <c:crosses val="autoZero"/>
        <c:crossBetween val="midCat"/>
      </c:valAx>
      <c:valAx>
        <c:axId val="178959872"/>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8953600"/>
        <c:crosses val="autoZero"/>
        <c:crossBetween val="midCat"/>
        <c:majorUnit val="20"/>
        <c:minorUnit val="10"/>
      </c:valAx>
      <c:valAx>
        <c:axId val="178971776"/>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61792"/>
        <c:crosses val="autoZero"/>
        <c:crossBetween val="midCat"/>
      </c:valAx>
      <c:valAx>
        <c:axId val="178961792"/>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8971776"/>
        <c:crosses val="max"/>
        <c:crossBetween val="midCat"/>
        <c:majorUnit val="90"/>
        <c:minorUnit val="45"/>
      </c:valAx>
    </c:plotArea>
    <c:plotVisOnly val="1"/>
    <c:dispBlanksAs val="gap"/>
    <c:showDLblsOverMax val="0"/>
    <c:extLst>
      <c:ext uri="{0b15fc19-7d7d-44ad-8c2d-2c3a37ce22c3}">
        <chartProps xmlns="https://web.wps.cn/et/2018/main" chartId="{d8376ad8-9511-453a-95bc-415188ceb85e}"/>
      </c:ext>
    </c:extLst>
  </c:chart>
  <c:txPr>
    <a:bodyPr/>
    <a:lstStyle/>
    <a:p>
      <a:pPr>
        <a:defRPr lang="pl-PL"/>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lgn="l">
              <a:defRPr lang="pl-PL" sz="2400" b="1" i="0" u="none" strike="noStrike" kern="1200" baseline="0">
                <a:solidFill>
                  <a:schemeClr val="tx1"/>
                </a:solidFill>
                <a:latin typeface="+mn-lt"/>
                <a:ea typeface="+mn-ea"/>
                <a:cs typeface="+mn-cs"/>
              </a:defRPr>
            </a:pPr>
            <a:r>
              <a:rPr lang="el-GR" sz="2400"/>
              <a:t>η</a:t>
            </a:r>
            <a:endParaRPr lang="en-US" sz="2400"/>
          </a:p>
        </c:rich>
      </c:tx>
      <c:layout>
        <c:manualLayout>
          <c:xMode val="edge"/>
          <c:yMode val="edge"/>
          <c:x val="0.0923218382951588"/>
          <c:y val="0.00670690811535882"/>
        </c:manualLayout>
      </c:layout>
      <c:overlay val="1"/>
    </c:title>
    <c:autoTitleDeleted val="0"/>
    <c:plotArea>
      <c:layout>
        <c:manualLayout>
          <c:layoutTarget val="inner"/>
          <c:xMode val="edge"/>
          <c:yMode val="edge"/>
          <c:x val="0.0943435758165804"/>
          <c:y val="0.127775049245605"/>
          <c:w val="0.821706919227287"/>
          <c:h val="0.749827708676531"/>
        </c:manualLayout>
      </c:layout>
      <c:scatterChart>
        <c:scatterStyle val="smooth"/>
        <c:varyColors val="0"/>
        <c:ser>
          <c:idx val="0"/>
          <c:order val="0"/>
          <c:tx>
            <c:strRef>
              <c:f>"Eff"</c:f>
              <c:strCache>
                <c:ptCount val="1"/>
                <c:pt idx="0">
                  <c:v>Eff</c:v>
                </c:pt>
              </c:strCache>
            </c:strRef>
          </c:tx>
          <c:spPr>
            <a:ln w="28575" cap="rnd" cmpd="sng" algn="ctr">
              <a:solidFill>
                <a:srgbClr val="FF0000"/>
              </a:solidFill>
              <a:prstDash val="solid"/>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Eff_vs_IOUT!$AT$7:$AT$157</c:f>
              <c:numCache>
                <c:formatCode>General</c:formatCode>
                <c:ptCount val="151"/>
                <c:pt idx="0">
                  <c:v>0</c:v>
                </c:pt>
                <c:pt idx="1">
                  <c:v>44.7233627032887</c:v>
                </c:pt>
                <c:pt idx="2">
                  <c:v>61.7249910870888</c:v>
                </c:pt>
                <c:pt idx="3">
                  <c:v>70.6628846613244</c:v>
                </c:pt>
                <c:pt idx="4">
                  <c:v>76.1622591187837</c:v>
                </c:pt>
                <c:pt idx="5">
                  <c:v>79.8787541642721</c:v>
                </c:pt>
                <c:pt idx="6">
                  <c:v>82.7324560379226</c:v>
                </c:pt>
                <c:pt idx="7">
                  <c:v>84.7859888965024</c:v>
                </c:pt>
                <c:pt idx="8">
                  <c:v>86.391742003971</c:v>
                </c:pt>
                <c:pt idx="9">
                  <c:v>87.6809906393113</c:v>
                </c:pt>
                <c:pt idx="10">
                  <c:v>88.7382641220843</c:v>
                </c:pt>
                <c:pt idx="11">
                  <c:v>89.6204521853824</c:v>
                </c:pt>
                <c:pt idx="12">
                  <c:v>90.3672483441022</c:v>
                </c:pt>
                <c:pt idx="13">
                  <c:v>91.0071908283457</c:v>
                </c:pt>
                <c:pt idx="14">
                  <c:v>91.5613241162418</c:v>
                </c:pt>
                <c:pt idx="15">
                  <c:v>92.0455071070635</c:v>
                </c:pt>
                <c:pt idx="16">
                  <c:v>92.4719176632854</c:v>
                </c:pt>
                <c:pt idx="17">
                  <c:v>92.8500620496666</c:v>
                </c:pt>
                <c:pt idx="18">
                  <c:v>93.1874694651864</c:v>
                </c:pt>
                <c:pt idx="19">
                  <c:v>93.490180615654</c:v>
                </c:pt>
                <c:pt idx="20">
                  <c:v>93.7630982264787</c:v>
                </c:pt>
                <c:pt idx="21">
                  <c:v>94.0102429632131</c:v>
                </c:pt>
                <c:pt idx="22">
                  <c:v>94.2349432599867</c:v>
                </c:pt>
                <c:pt idx="23">
                  <c:v>94.4399781472883</c:v>
                </c:pt>
                <c:pt idx="24">
                  <c:v>94.6276861177148</c:v>
                </c:pt>
                <c:pt idx="25">
                  <c:v>94.8000490920718</c:v>
                </c:pt>
                <c:pt idx="26">
                  <c:v>94.9587578860387</c:v>
                </c:pt>
                <c:pt idx="27">
                  <c:v>95.1052637640768</c:v>
                </c:pt>
                <c:pt idx="28">
                  <c:v>95.2408194120563</c:v>
                </c:pt>
                <c:pt idx="29">
                  <c:v>95.3665117785327</c:v>
                </c:pt>
                <c:pt idx="30">
                  <c:v>95.483288607083</c:v>
                </c:pt>
                <c:pt idx="31">
                  <c:v>95.5919800298014</c:v>
                </c:pt>
                <c:pt idx="32">
                  <c:v>95.693316262241</c:v>
                </c:pt>
                <c:pt idx="33">
                  <c:v>95.7879421969798</c:v>
                </c:pt>
                <c:pt idx="34">
                  <c:v>95.876429511982</c:v>
                </c:pt>
                <c:pt idx="35">
                  <c:v>95.9592867738815</c:v>
                </c:pt>
                <c:pt idx="36">
                  <c:v>96.0369679131508</c:v>
                </c:pt>
                <c:pt idx="37">
                  <c:v>96.1098793692438</c:v>
                </c:pt>
                <c:pt idx="38">
                  <c:v>96.1783861430162</c:v>
                </c:pt>
                <c:pt idx="39">
                  <c:v>96.2428169465421</c:v>
                </c:pt>
                <c:pt idx="40">
                  <c:v>96.3034686035596</c:v>
                </c:pt>
                <c:pt idx="41">
                  <c:v>96.3606098247501</c:v>
                </c:pt>
                <c:pt idx="42">
                  <c:v>96.4144844590747</c:v>
                </c:pt>
                <c:pt idx="43">
                  <c:v>96.4653143040828</c:v>
                </c:pt>
                <c:pt idx="44">
                  <c:v>96.5133015434438</c:v>
                </c:pt>
                <c:pt idx="45">
                  <c:v>96.5586308681424</c:v>
                </c:pt>
                <c:pt idx="46">
                  <c:v>96.6014713282198</c:v>
                </c:pt>
                <c:pt idx="47">
                  <c:v>96.6419779541653</c:v>
                </c:pt>
                <c:pt idx="48">
                  <c:v>96.6802931807105</c:v>
                </c:pt>
                <c:pt idx="49">
                  <c:v>96.7165481005604</c:v>
                </c:pt>
                <c:pt idx="50">
                  <c:v>96.7508635712984</c:v>
                </c:pt>
                <c:pt idx="51">
                  <c:v>96.7833511951411</c:v>
                </c:pt>
                <c:pt idx="52">
                  <c:v>96.8141141882629</c:v>
                </c:pt>
                <c:pt idx="53">
                  <c:v>96.8432481539445</c:v>
                </c:pt>
                <c:pt idx="54">
                  <c:v>96.8708417717337</c:v>
                </c:pt>
                <c:pt idx="55">
                  <c:v>96.8969774130733</c:v>
                </c:pt>
                <c:pt idx="56">
                  <c:v>96.9217316923907</c:v>
                </c:pt>
                <c:pt idx="57">
                  <c:v>96.9451759614055</c:v>
                </c:pt>
                <c:pt idx="58">
                  <c:v>96.9673767533671</c:v>
                </c:pt>
                <c:pt idx="59">
                  <c:v>96.98839618304</c:v>
                </c:pt>
                <c:pt idx="60">
                  <c:v>97.0082923074962</c:v>
                </c:pt>
                <c:pt idx="61">
                  <c:v>97.0271194521231</c:v>
                </c:pt>
                <c:pt idx="62">
                  <c:v>97.0449285056968</c:v>
                </c:pt>
                <c:pt idx="63">
                  <c:v>97.0617671878941</c:v>
                </c:pt>
                <c:pt idx="64">
                  <c:v>97.0776802921974</c:v>
                </c:pt>
                <c:pt idx="65">
                  <c:v>97.0927099067967</c:v>
                </c:pt>
                <c:pt idx="66">
                  <c:v>97.1068956157771</c:v>
                </c:pt>
                <c:pt idx="67">
                  <c:v>97.1202746826152</c:v>
                </c:pt>
                <c:pt idx="68">
                  <c:v>97.1328822177729</c:v>
                </c:pt>
                <c:pt idx="69">
                  <c:v>97.1447513319744</c:v>
                </c:pt>
                <c:pt idx="70">
                  <c:v>97.1559132765715</c:v>
                </c:pt>
                <c:pt idx="71">
                  <c:v>97.1663975722501</c:v>
                </c:pt>
                <c:pt idx="72">
                  <c:v>97.1762321271922</c:v>
                </c:pt>
                <c:pt idx="73">
                  <c:v>97.1854433456865</c:v>
                </c:pt>
                <c:pt idx="74">
                  <c:v>97.1940562280775</c:v>
                </c:pt>
                <c:pt idx="75">
                  <c:v>97.2020944628475</c:v>
                </c:pt>
                <c:pt idx="76">
                  <c:v>97.2095805115462</c:v>
                </c:pt>
                <c:pt idx="77">
                  <c:v>97.2165356872054</c:v>
                </c:pt>
                <c:pt idx="78">
                  <c:v>97.2229802268161</c:v>
                </c:pt>
                <c:pt idx="79">
                  <c:v>97.2289333583863</c:v>
                </c:pt>
                <c:pt idx="80">
                  <c:v>97.2344133630448</c:v>
                </c:pt>
                <c:pt idx="81">
                  <c:v>97.2394376326142</c:v>
                </c:pt>
                <c:pt idx="82">
                  <c:v>97.2440227230337</c:v>
                </c:pt>
                <c:pt idx="83">
                  <c:v>97.2481844039764</c:v>
                </c:pt>
                <c:pt idx="84">
                  <c:v>97.2519377049736</c:v>
                </c:pt>
                <c:pt idx="85">
                  <c:v>97.2552969583306</c:v>
                </c:pt>
                <c:pt idx="86">
                  <c:v>97.2582758390895</c:v>
                </c:pt>
                <c:pt idx="87">
                  <c:v>97.2608874022755</c:v>
                </c:pt>
                <c:pt idx="88">
                  <c:v>97.263144117638</c:v>
                </c:pt>
                <c:pt idx="89">
                  <c:v>97.2650579020825</c:v>
                </c:pt>
                <c:pt idx="90">
                  <c:v>97.2666401499686</c:v>
                </c:pt>
                <c:pt idx="91">
                  <c:v>97.2679017614378</c:v>
                </c:pt>
                <c:pt idx="92">
                  <c:v>97.2688531689179</c:v>
                </c:pt>
                <c:pt idx="93">
                  <c:v>97.2695043619397</c:v>
                </c:pt>
                <c:pt idx="94">
                  <c:v>97.2698649103908</c:v>
                </c:pt>
                <c:pt idx="95">
                  <c:v>97.2699439863186</c:v>
                </c:pt>
                <c:pt idx="96">
                  <c:v>97.2697503843888</c:v>
                </c:pt>
                <c:pt idx="97">
                  <c:v>97.2692925410938</c:v>
                </c:pt>
                <c:pt idx="98">
                  <c:v>97.2685785527997</c:v>
                </c:pt>
                <c:pt idx="99">
                  <c:v>97.2676161927133</c:v>
                </c:pt>
                <c:pt idx="100">
                  <c:v>97.2664129268431</c:v>
                </c:pt>
                <c:pt idx="101">
                  <c:v>97.2649759290239</c:v>
                </c:pt>
                <c:pt idx="102">
                  <c:v>97.263312095068</c:v>
                </c:pt>
                <c:pt idx="103">
                  <c:v>97.2614280561017</c:v>
                </c:pt>
                <c:pt idx="104">
                  <c:v>97.2593301911416</c:v>
                </c:pt>
                <c:pt idx="105">
                  <c:v>97.2570246389604</c:v>
                </c:pt>
                <c:pt idx="106">
                  <c:v>97.2545173092891</c:v>
                </c:pt>
                <c:pt idx="107">
                  <c:v>97.2518138933977</c:v>
                </c:pt>
                <c:pt idx="108">
                  <c:v>97.2489198740953</c:v>
                </c:pt>
                <c:pt idx="109">
                  <c:v>97.2458405351855</c:v>
                </c:pt>
                <c:pt idx="110">
                  <c:v>97.2425809704116</c:v>
                </c:pt>
                <c:pt idx="111">
                  <c:v>97.2391460919242</c:v>
                </c:pt>
                <c:pt idx="112">
                  <c:v>97.2355406382997</c:v>
                </c:pt>
                <c:pt idx="113">
                  <c:v>97.2317691821375</c:v>
                </c:pt>
                <c:pt idx="114">
                  <c:v>97.227836137262</c:v>
                </c:pt>
                <c:pt idx="115">
                  <c:v>97.2237457655527</c:v>
                </c:pt>
                <c:pt idx="116">
                  <c:v>97.2195021834245</c:v>
                </c:pt>
                <c:pt idx="117">
                  <c:v>97.2151093679795</c:v>
                </c:pt>
                <c:pt idx="118">
                  <c:v>97.2105711628492</c:v>
                </c:pt>
                <c:pt idx="119">
                  <c:v>97.2058912837445</c:v>
                </c:pt>
                <c:pt idx="120">
                  <c:v>97.2010733237323</c:v>
                </c:pt>
                <c:pt idx="121">
                  <c:v>97.1961207582516</c:v>
                </c:pt>
                <c:pt idx="122">
                  <c:v>97.1910369498866</c:v>
                </c:pt>
                <c:pt idx="123">
                  <c:v>97.1858251529086</c:v>
                </c:pt>
                <c:pt idx="124">
                  <c:v>97.1804885176006</c:v>
                </c:pt>
                <c:pt idx="125">
                  <c:v>97.175030094376</c:v>
                </c:pt>
                <c:pt idx="126">
                  <c:v>97.1694528377035</c:v>
                </c:pt>
                <c:pt idx="127">
                  <c:v>97.1637596098483</c:v>
                </c:pt>
                <c:pt idx="128">
                  <c:v>97.157953184439</c:v>
                </c:pt>
                <c:pt idx="129">
                  <c:v>97.1520362498711</c:v>
                </c:pt>
                <c:pt idx="130">
                  <c:v>97.146011412554</c:v>
                </c:pt>
                <c:pt idx="131">
                  <c:v>97.1398812000116</c:v>
                </c:pt>
                <c:pt idx="132">
                  <c:v>97.1336480638422</c:v>
                </c:pt>
                <c:pt idx="133">
                  <c:v>97.1273143825471</c:v>
                </c:pt>
                <c:pt idx="134">
                  <c:v>97.120882464233</c:v>
                </c:pt>
                <c:pt idx="135">
                  <c:v>97.1143545491958</c:v>
                </c:pt>
                <c:pt idx="136">
                  <c:v>97.1077328123912</c:v>
                </c:pt>
                <c:pt idx="137">
                  <c:v>97.1010193657981</c:v>
                </c:pt>
                <c:pt idx="138">
                  <c:v>97.09421626068</c:v>
                </c:pt>
                <c:pt idx="139">
                  <c:v>97.0873254897504</c:v>
                </c:pt>
                <c:pt idx="140">
                  <c:v>97.0803489892451</c:v>
                </c:pt>
                <c:pt idx="141">
                  <c:v>97.0732886409078</c:v>
                </c:pt>
                <c:pt idx="142">
                  <c:v>97.0661462738925</c:v>
                </c:pt>
                <c:pt idx="143">
                  <c:v>97.0589236665862</c:v>
                </c:pt>
                <c:pt idx="144">
                  <c:v>97.0516225483571</c:v>
                </c:pt>
                <c:pt idx="145">
                  <c:v>97.0442446012307</c:v>
                </c:pt>
                <c:pt idx="146">
                  <c:v>97.0367914614971</c:v>
                </c:pt>
                <c:pt idx="147">
                  <c:v>97.0292647212542</c:v>
                </c:pt>
                <c:pt idx="148">
                  <c:v>97.0216659298882</c:v>
                </c:pt>
                <c:pt idx="149">
                  <c:v>97.0139965954951</c:v>
                </c:pt>
                <c:pt idx="150">
                  <c:v>97.0062581862458</c:v>
                </c:pt>
              </c:numCache>
            </c:numRef>
          </c:yVal>
          <c:smooth val="0"/>
        </c:ser>
        <c:dLbls>
          <c:showLegendKey val="0"/>
          <c:showVal val="0"/>
          <c:showCatName val="0"/>
          <c:showSerName val="0"/>
          <c:showPercent val="0"/>
          <c:showBubbleSize val="0"/>
        </c:dLbls>
        <c:axId val="178605056"/>
        <c:axId val="178615040"/>
      </c:scatterChart>
      <c:scatterChart>
        <c:scatterStyle val="smooth"/>
        <c:varyColors val="0"/>
        <c:ser>
          <c:idx val="1"/>
          <c:order val="1"/>
          <c:tx>
            <c:strRef>
              <c:f>"MOSFET"</c:f>
              <c:strCache>
                <c:ptCount val="1"/>
                <c:pt idx="0">
                  <c:v>MOSFET</c:v>
                </c:pt>
              </c:strCache>
            </c:strRef>
          </c:tx>
          <c:spPr>
            <a:ln w="28575" cap="rnd" cmpd="sng" algn="ctr">
              <a:solidFill>
                <a:schemeClr val="tx2">
                  <a:lumMod val="75000"/>
                </a:schemeClr>
              </a:solidFill>
              <a:prstDash val="dashDot"/>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Eff_vs_IOUT!$AI$7:$AI$157</c:f>
              <c:numCache>
                <c:formatCode>General</c:formatCode>
                <c:ptCount val="151"/>
                <c:pt idx="0">
                  <c:v>0</c:v>
                </c:pt>
                <c:pt idx="1">
                  <c:v>-0.0018491052270604</c:v>
                </c:pt>
                <c:pt idx="2">
                  <c:v>-0.00363292004034159</c:v>
                </c:pt>
                <c:pt idx="3">
                  <c:v>-0.0053578696421986</c:v>
                </c:pt>
                <c:pt idx="4">
                  <c:v>-0.00702487010589411</c:v>
                </c:pt>
                <c:pt idx="5">
                  <c:v>-0.00863373368107312</c:v>
                </c:pt>
                <c:pt idx="6">
                  <c:v>-0.0110165834863775</c:v>
                </c:pt>
                <c:pt idx="7">
                  <c:v>-0.0128225963299751</c:v>
                </c:pt>
                <c:pt idx="8">
                  <c:v>-0.0146141647291282</c:v>
                </c:pt>
                <c:pt idx="9">
                  <c:v>-0.0163912886838369</c:v>
                </c:pt>
                <c:pt idx="10">
                  <c:v>-0.0181539681941011</c:v>
                </c:pt>
                <c:pt idx="11">
                  <c:v>-0.0199022032599209</c:v>
                </c:pt>
                <c:pt idx="12">
                  <c:v>-0.0216359938812963</c:v>
                </c:pt>
                <c:pt idx="13">
                  <c:v>-0.0233553400582271</c:v>
                </c:pt>
                <c:pt idx="14">
                  <c:v>-0.0250602417907136</c:v>
                </c:pt>
                <c:pt idx="15">
                  <c:v>-0.0267506990787556</c:v>
                </c:pt>
                <c:pt idx="16">
                  <c:v>-0.0284267119223532</c:v>
                </c:pt>
                <c:pt idx="17">
                  <c:v>-0.0300882803215063</c:v>
                </c:pt>
                <c:pt idx="18">
                  <c:v>-0.031735404276215</c:v>
                </c:pt>
                <c:pt idx="19">
                  <c:v>-0.0333680837864792</c:v>
                </c:pt>
                <c:pt idx="20">
                  <c:v>-0.034986318852299</c:v>
                </c:pt>
                <c:pt idx="21">
                  <c:v>-0.0365901094736743</c:v>
                </c:pt>
                <c:pt idx="22">
                  <c:v>-0.0381794556506052</c:v>
                </c:pt>
                <c:pt idx="23">
                  <c:v>-0.0397543573830917</c:v>
                </c:pt>
                <c:pt idx="24">
                  <c:v>-0.0413148146711337</c:v>
                </c:pt>
                <c:pt idx="25">
                  <c:v>-0.0428608275147313</c:v>
                </c:pt>
                <c:pt idx="26">
                  <c:v>-0.0443923959138844</c:v>
                </c:pt>
                <c:pt idx="27">
                  <c:v>-0.0459095198685931</c:v>
                </c:pt>
                <c:pt idx="28">
                  <c:v>-0.0474121993788573</c:v>
                </c:pt>
                <c:pt idx="29">
                  <c:v>-0.0489004344446771</c:v>
                </c:pt>
                <c:pt idx="30">
                  <c:v>-0.0503742250660524</c:v>
                </c:pt>
                <c:pt idx="31">
                  <c:v>-0.0518335712429833</c:v>
                </c:pt>
                <c:pt idx="32">
                  <c:v>-0.0532784729754698</c:v>
                </c:pt>
                <c:pt idx="33">
                  <c:v>-0.0547089302635118</c:v>
                </c:pt>
                <c:pt idx="34">
                  <c:v>-0.0561249431071093</c:v>
                </c:pt>
                <c:pt idx="35">
                  <c:v>-0.0575265115062625</c:v>
                </c:pt>
                <c:pt idx="36">
                  <c:v>-0.0589136354609711</c:v>
                </c:pt>
                <c:pt idx="37">
                  <c:v>-0.0602863149712354</c:v>
                </c:pt>
                <c:pt idx="38">
                  <c:v>-0.0616445500370552</c:v>
                </c:pt>
                <c:pt idx="39">
                  <c:v>-0.0629883406584305</c:v>
                </c:pt>
                <c:pt idx="40">
                  <c:v>-0.0643176868353614</c:v>
                </c:pt>
                <c:pt idx="41">
                  <c:v>-0.0656325885678479</c:v>
                </c:pt>
                <c:pt idx="42">
                  <c:v>-0.0669330458558899</c:v>
                </c:pt>
                <c:pt idx="43">
                  <c:v>-0.0682190586994874</c:v>
                </c:pt>
                <c:pt idx="44">
                  <c:v>-0.0694906270986406</c:v>
                </c:pt>
                <c:pt idx="45">
                  <c:v>-0.0707477510533492</c:v>
                </c:pt>
                <c:pt idx="46">
                  <c:v>-0.0719904305636135</c:v>
                </c:pt>
                <c:pt idx="47">
                  <c:v>-0.0732186656294333</c:v>
                </c:pt>
                <c:pt idx="48">
                  <c:v>-0.0744324562508086</c:v>
                </c:pt>
                <c:pt idx="49">
                  <c:v>-0.0756318024277395</c:v>
                </c:pt>
                <c:pt idx="50">
                  <c:v>-0.076816704160226</c:v>
                </c:pt>
                <c:pt idx="51">
                  <c:v>-0.0779871614482679</c:v>
                </c:pt>
                <c:pt idx="52">
                  <c:v>-0.0791431742918655</c:v>
                </c:pt>
                <c:pt idx="53">
                  <c:v>-0.0802847426910186</c:v>
                </c:pt>
                <c:pt idx="54">
                  <c:v>-0.0814118666457273</c:v>
                </c:pt>
                <c:pt idx="55">
                  <c:v>-0.0825245461559915</c:v>
                </c:pt>
                <c:pt idx="56">
                  <c:v>-0.0836227812218113</c:v>
                </c:pt>
                <c:pt idx="57">
                  <c:v>-0.0847065718431867</c:v>
                </c:pt>
                <c:pt idx="58">
                  <c:v>-0.0857759180201176</c:v>
                </c:pt>
                <c:pt idx="59">
                  <c:v>-0.0868308197526041</c:v>
                </c:pt>
                <c:pt idx="60">
                  <c:v>-0.087871277040646</c:v>
                </c:pt>
                <c:pt idx="61">
                  <c:v>-0.0888972898842436</c:v>
                </c:pt>
                <c:pt idx="62">
                  <c:v>-0.0899088582833967</c:v>
                </c:pt>
                <c:pt idx="63">
                  <c:v>-0.0909059822381054</c:v>
                </c:pt>
                <c:pt idx="64">
                  <c:v>-0.0918886617483696</c:v>
                </c:pt>
                <c:pt idx="65">
                  <c:v>-0.0928568968141894</c:v>
                </c:pt>
                <c:pt idx="66">
                  <c:v>-0.0938106874355648</c:v>
                </c:pt>
                <c:pt idx="67">
                  <c:v>-0.0947500336124957</c:v>
                </c:pt>
                <c:pt idx="68">
                  <c:v>-0.0956749353449821</c:v>
                </c:pt>
                <c:pt idx="69">
                  <c:v>-0.0965853926330241</c:v>
                </c:pt>
                <c:pt idx="70">
                  <c:v>-0.0974814054766217</c:v>
                </c:pt>
                <c:pt idx="71">
                  <c:v>-0.0983629738757748</c:v>
                </c:pt>
                <c:pt idx="72">
                  <c:v>-0.0992300978304835</c:v>
                </c:pt>
                <c:pt idx="73">
                  <c:v>-0.100082777340748</c:v>
                </c:pt>
                <c:pt idx="74">
                  <c:v>-0.100921012406567</c:v>
                </c:pt>
                <c:pt idx="75">
                  <c:v>-0.101744803027943</c:v>
                </c:pt>
                <c:pt idx="76">
                  <c:v>-0.102554149204874</c:v>
                </c:pt>
                <c:pt idx="77">
                  <c:v>-0.10334905093736</c:v>
                </c:pt>
                <c:pt idx="78">
                  <c:v>-0.104129508225402</c:v>
                </c:pt>
                <c:pt idx="79">
                  <c:v>-0.104895521069</c:v>
                </c:pt>
                <c:pt idx="80">
                  <c:v>-0.105647089468153</c:v>
                </c:pt>
                <c:pt idx="81">
                  <c:v>-0.106384213422862</c:v>
                </c:pt>
                <c:pt idx="82">
                  <c:v>-0.107106892933126</c:v>
                </c:pt>
                <c:pt idx="83">
                  <c:v>-0.107815127998946</c:v>
                </c:pt>
                <c:pt idx="84">
                  <c:v>-0.108508918620321</c:v>
                </c:pt>
                <c:pt idx="85">
                  <c:v>-0.109188264797252</c:v>
                </c:pt>
                <c:pt idx="86">
                  <c:v>-0.109853166529738</c:v>
                </c:pt>
                <c:pt idx="87">
                  <c:v>-0.11050362381778</c:v>
                </c:pt>
                <c:pt idx="88">
                  <c:v>-0.111139636661378</c:v>
                </c:pt>
                <c:pt idx="89">
                  <c:v>-0.111761205060531</c:v>
                </c:pt>
                <c:pt idx="90">
                  <c:v>-0.11236832901524</c:v>
                </c:pt>
                <c:pt idx="91">
                  <c:v>-0.112961008525504</c:v>
                </c:pt>
                <c:pt idx="92">
                  <c:v>-0.113539243591324</c:v>
                </c:pt>
                <c:pt idx="93">
                  <c:v>-0.114103034212699</c:v>
                </c:pt>
                <c:pt idx="94">
                  <c:v>-0.11465238038963</c:v>
                </c:pt>
                <c:pt idx="95">
                  <c:v>-0.115187282122116</c:v>
                </c:pt>
                <c:pt idx="96">
                  <c:v>-0.115707739410158</c:v>
                </c:pt>
                <c:pt idx="97">
                  <c:v>-0.116213752253756</c:v>
                </c:pt>
                <c:pt idx="98">
                  <c:v>-0.116705320652909</c:v>
                </c:pt>
                <c:pt idx="99">
                  <c:v>-0.117182444607618</c:v>
                </c:pt>
                <c:pt idx="100">
                  <c:v>-0.117645124117882</c:v>
                </c:pt>
                <c:pt idx="101">
                  <c:v>-0.118093359183702</c:v>
                </c:pt>
                <c:pt idx="102">
                  <c:v>-0.118527149805077</c:v>
                </c:pt>
                <c:pt idx="103">
                  <c:v>-0.118946495982008</c:v>
                </c:pt>
                <c:pt idx="104">
                  <c:v>-0.119351397714494</c:v>
                </c:pt>
                <c:pt idx="105">
                  <c:v>-0.119741855002536</c:v>
                </c:pt>
                <c:pt idx="106">
                  <c:v>-0.120117867846134</c:v>
                </c:pt>
                <c:pt idx="107">
                  <c:v>-0.120479436245287</c:v>
                </c:pt>
                <c:pt idx="108">
                  <c:v>-0.120826560199996</c:v>
                </c:pt>
                <c:pt idx="109">
                  <c:v>-0.12115923971026</c:v>
                </c:pt>
                <c:pt idx="110">
                  <c:v>-0.12147747477608</c:v>
                </c:pt>
                <c:pt idx="111">
                  <c:v>-0.121781265397455</c:v>
                </c:pt>
                <c:pt idx="112">
                  <c:v>-0.122070611574386</c:v>
                </c:pt>
                <c:pt idx="113">
                  <c:v>-0.122345513306873</c:v>
                </c:pt>
                <c:pt idx="114">
                  <c:v>-0.122605970594915</c:v>
                </c:pt>
                <c:pt idx="115">
                  <c:v>-0.122851983438512</c:v>
                </c:pt>
                <c:pt idx="116">
                  <c:v>-0.123083551837665</c:v>
                </c:pt>
                <c:pt idx="117">
                  <c:v>-0.123300675792374</c:v>
                </c:pt>
                <c:pt idx="118">
                  <c:v>-0.123503355302638</c:v>
                </c:pt>
                <c:pt idx="119">
                  <c:v>-0.123691590368458</c:v>
                </c:pt>
                <c:pt idx="120">
                  <c:v>-0.123865380989833</c:v>
                </c:pt>
                <c:pt idx="121">
                  <c:v>-0.124024727166764</c:v>
                </c:pt>
                <c:pt idx="122">
                  <c:v>-0.124169628899251</c:v>
                </c:pt>
                <c:pt idx="123">
                  <c:v>-0.124300086187293</c:v>
                </c:pt>
                <c:pt idx="124">
                  <c:v>-0.12441609903089</c:v>
                </c:pt>
                <c:pt idx="125">
                  <c:v>-0.124517667430043</c:v>
                </c:pt>
                <c:pt idx="126">
                  <c:v>-0.124604791384752</c:v>
                </c:pt>
                <c:pt idx="127">
                  <c:v>-0.124677470895016</c:v>
                </c:pt>
                <c:pt idx="128">
                  <c:v>-0.124735705960836</c:v>
                </c:pt>
                <c:pt idx="129">
                  <c:v>-0.124779496582211</c:v>
                </c:pt>
                <c:pt idx="130">
                  <c:v>-0.124808842759142</c:v>
                </c:pt>
                <c:pt idx="131">
                  <c:v>-0.124823744491629</c:v>
                </c:pt>
                <c:pt idx="132">
                  <c:v>-0.124824201779671</c:v>
                </c:pt>
                <c:pt idx="133">
                  <c:v>-0.124810214623268</c:v>
                </c:pt>
                <c:pt idx="134">
                  <c:v>-0.124781783022421</c:v>
                </c:pt>
                <c:pt idx="135">
                  <c:v>-0.12473890697713</c:v>
                </c:pt>
                <c:pt idx="136">
                  <c:v>-0.124681586487394</c:v>
                </c:pt>
                <c:pt idx="137">
                  <c:v>-0.124609821553214</c:v>
                </c:pt>
                <c:pt idx="138">
                  <c:v>-0.124523612174589</c:v>
                </c:pt>
                <c:pt idx="139">
                  <c:v>-0.12442295835152</c:v>
                </c:pt>
                <c:pt idx="140">
                  <c:v>-0.124307860084007</c:v>
                </c:pt>
                <c:pt idx="141">
                  <c:v>-0.124178317372049</c:v>
                </c:pt>
                <c:pt idx="142">
                  <c:v>-0.124034330215646</c:v>
                </c:pt>
                <c:pt idx="143">
                  <c:v>-0.1238758986148</c:v>
                </c:pt>
                <c:pt idx="144">
                  <c:v>-0.123703022569508</c:v>
                </c:pt>
                <c:pt idx="145">
                  <c:v>-0.123515702079772</c:v>
                </c:pt>
                <c:pt idx="146">
                  <c:v>-0.123313937145592</c:v>
                </c:pt>
                <c:pt idx="147">
                  <c:v>-0.123097727766967</c:v>
                </c:pt>
                <c:pt idx="148">
                  <c:v>-0.122867073943898</c:v>
                </c:pt>
                <c:pt idx="149">
                  <c:v>-0.122621975676385</c:v>
                </c:pt>
                <c:pt idx="150">
                  <c:v>-0.122362432964427</c:v>
                </c:pt>
              </c:numCache>
            </c:numRef>
          </c:yVal>
          <c:smooth val="1"/>
        </c:ser>
        <c:ser>
          <c:idx val="2"/>
          <c:order val="2"/>
          <c:tx>
            <c:strRef>
              <c:f>"Diode"</c:f>
              <c:strCache>
                <c:ptCount val="1"/>
                <c:pt idx="0">
                  <c:v>Diode</c:v>
                </c:pt>
              </c:strCache>
            </c:strRef>
          </c:tx>
          <c:spPr>
            <a:ln w="28575" cap="rnd" cmpd="sng" algn="ctr">
              <a:solidFill>
                <a:schemeClr val="bg2">
                  <a:lumMod val="50000"/>
                </a:schemeClr>
              </a:solidFill>
              <a:prstDash val="sysDash"/>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Eff_vs_IOUT!$AN$7:$AN$157</c:f>
              <c:numCache>
                <c:formatCode>General</c:formatCode>
                <c:ptCount val="151"/>
                <c:pt idx="0">
                  <c:v>0</c:v>
                </c:pt>
                <c:pt idx="1">
                  <c:v>0.00216666666666667</c:v>
                </c:pt>
                <c:pt idx="2">
                  <c:v>0.00433333333333333</c:v>
                </c:pt>
                <c:pt idx="3">
                  <c:v>0.0065</c:v>
                </c:pt>
                <c:pt idx="4">
                  <c:v>0.00866666666666667</c:v>
                </c:pt>
                <c:pt idx="5">
                  <c:v>0.0108333333333333</c:v>
                </c:pt>
                <c:pt idx="6">
                  <c:v>0.013</c:v>
                </c:pt>
                <c:pt idx="7">
                  <c:v>0.0151666666666667</c:v>
                </c:pt>
                <c:pt idx="8">
                  <c:v>0.0173333333333333</c:v>
                </c:pt>
                <c:pt idx="9">
                  <c:v>0.0195</c:v>
                </c:pt>
                <c:pt idx="10">
                  <c:v>0.0216666666666667</c:v>
                </c:pt>
                <c:pt idx="11">
                  <c:v>0.0238333333333333</c:v>
                </c:pt>
                <c:pt idx="12">
                  <c:v>0.026</c:v>
                </c:pt>
                <c:pt idx="13">
                  <c:v>0.0281666666666667</c:v>
                </c:pt>
                <c:pt idx="14">
                  <c:v>0.0303333333333333</c:v>
                </c:pt>
                <c:pt idx="15">
                  <c:v>0.0325</c:v>
                </c:pt>
                <c:pt idx="16">
                  <c:v>0.0346666666666667</c:v>
                </c:pt>
                <c:pt idx="17">
                  <c:v>0.0368333333333333</c:v>
                </c:pt>
                <c:pt idx="18">
                  <c:v>0.039</c:v>
                </c:pt>
                <c:pt idx="19">
                  <c:v>0.0411666666666667</c:v>
                </c:pt>
                <c:pt idx="20">
                  <c:v>0.0433333333333333</c:v>
                </c:pt>
                <c:pt idx="21">
                  <c:v>0.0455</c:v>
                </c:pt>
                <c:pt idx="22">
                  <c:v>0.0476666666666667</c:v>
                </c:pt>
                <c:pt idx="23">
                  <c:v>0.0498333333333333</c:v>
                </c:pt>
                <c:pt idx="24">
                  <c:v>0.052</c:v>
                </c:pt>
                <c:pt idx="25">
                  <c:v>0.0541666666666667</c:v>
                </c:pt>
                <c:pt idx="26">
                  <c:v>0.0563333333333333</c:v>
                </c:pt>
                <c:pt idx="27">
                  <c:v>0.0585</c:v>
                </c:pt>
                <c:pt idx="28">
                  <c:v>0.0606666666666667</c:v>
                </c:pt>
                <c:pt idx="29">
                  <c:v>0.0628333333333333</c:v>
                </c:pt>
                <c:pt idx="30">
                  <c:v>0.065</c:v>
                </c:pt>
                <c:pt idx="31">
                  <c:v>0.0671666666666667</c:v>
                </c:pt>
                <c:pt idx="32">
                  <c:v>0.0693333333333333</c:v>
                </c:pt>
                <c:pt idx="33">
                  <c:v>0.0715</c:v>
                </c:pt>
                <c:pt idx="34">
                  <c:v>0.0736666666666667</c:v>
                </c:pt>
                <c:pt idx="35">
                  <c:v>0.0758333333333333</c:v>
                </c:pt>
                <c:pt idx="36">
                  <c:v>0.078</c:v>
                </c:pt>
                <c:pt idx="37">
                  <c:v>0.0801666666666667</c:v>
                </c:pt>
                <c:pt idx="38">
                  <c:v>0.0823333333333333</c:v>
                </c:pt>
                <c:pt idx="39">
                  <c:v>0.0845</c:v>
                </c:pt>
                <c:pt idx="40">
                  <c:v>0.0866666666666667</c:v>
                </c:pt>
                <c:pt idx="41">
                  <c:v>0.0888333333333333</c:v>
                </c:pt>
                <c:pt idx="42">
                  <c:v>0.091</c:v>
                </c:pt>
                <c:pt idx="43">
                  <c:v>0.0931666666666667</c:v>
                </c:pt>
                <c:pt idx="44">
                  <c:v>0.0953333333333333</c:v>
                </c:pt>
                <c:pt idx="45">
                  <c:v>0.0975</c:v>
                </c:pt>
                <c:pt idx="46">
                  <c:v>0.0996666666666667</c:v>
                </c:pt>
                <c:pt idx="47">
                  <c:v>0.101833333333333</c:v>
                </c:pt>
                <c:pt idx="48">
                  <c:v>0.104</c:v>
                </c:pt>
                <c:pt idx="49">
                  <c:v>0.106166666666667</c:v>
                </c:pt>
                <c:pt idx="50">
                  <c:v>0.108333333333333</c:v>
                </c:pt>
                <c:pt idx="51">
                  <c:v>0.1105</c:v>
                </c:pt>
                <c:pt idx="52">
                  <c:v>0.112666666666667</c:v>
                </c:pt>
                <c:pt idx="53">
                  <c:v>0.114833333333333</c:v>
                </c:pt>
                <c:pt idx="54">
                  <c:v>0.117</c:v>
                </c:pt>
                <c:pt idx="55">
                  <c:v>0.119166666666667</c:v>
                </c:pt>
                <c:pt idx="56">
                  <c:v>0.121333333333333</c:v>
                </c:pt>
                <c:pt idx="57">
                  <c:v>0.1235</c:v>
                </c:pt>
                <c:pt idx="58">
                  <c:v>0.125666666666667</c:v>
                </c:pt>
                <c:pt idx="59">
                  <c:v>0.127833333333333</c:v>
                </c:pt>
                <c:pt idx="60">
                  <c:v>0.13</c:v>
                </c:pt>
                <c:pt idx="61">
                  <c:v>0.132166666666667</c:v>
                </c:pt>
                <c:pt idx="62">
                  <c:v>0.134333333333333</c:v>
                </c:pt>
                <c:pt idx="63">
                  <c:v>0.1365</c:v>
                </c:pt>
                <c:pt idx="64">
                  <c:v>0.138666666666667</c:v>
                </c:pt>
                <c:pt idx="65">
                  <c:v>0.140833333333333</c:v>
                </c:pt>
                <c:pt idx="66">
                  <c:v>0.143</c:v>
                </c:pt>
                <c:pt idx="67">
                  <c:v>0.145166666666667</c:v>
                </c:pt>
                <c:pt idx="68">
                  <c:v>0.147333333333333</c:v>
                </c:pt>
                <c:pt idx="69">
                  <c:v>0.1495</c:v>
                </c:pt>
                <c:pt idx="70">
                  <c:v>0.151666666666667</c:v>
                </c:pt>
                <c:pt idx="71">
                  <c:v>0.153833333333333</c:v>
                </c:pt>
                <c:pt idx="72">
                  <c:v>0.156</c:v>
                </c:pt>
                <c:pt idx="73">
                  <c:v>0.158166666666667</c:v>
                </c:pt>
                <c:pt idx="74">
                  <c:v>0.160333333333333</c:v>
                </c:pt>
                <c:pt idx="75">
                  <c:v>0.1625</c:v>
                </c:pt>
                <c:pt idx="76">
                  <c:v>0.164666666666667</c:v>
                </c:pt>
                <c:pt idx="77">
                  <c:v>0.166833333333333</c:v>
                </c:pt>
                <c:pt idx="78">
                  <c:v>0.169</c:v>
                </c:pt>
                <c:pt idx="79">
                  <c:v>0.171166666666667</c:v>
                </c:pt>
                <c:pt idx="80">
                  <c:v>0.173333333333333</c:v>
                </c:pt>
                <c:pt idx="81">
                  <c:v>0.1755</c:v>
                </c:pt>
                <c:pt idx="82">
                  <c:v>0.177666666666667</c:v>
                </c:pt>
                <c:pt idx="83">
                  <c:v>0.179833333333333</c:v>
                </c:pt>
                <c:pt idx="84">
                  <c:v>0.182</c:v>
                </c:pt>
                <c:pt idx="85">
                  <c:v>0.184166666666667</c:v>
                </c:pt>
                <c:pt idx="86">
                  <c:v>0.186333333333333</c:v>
                </c:pt>
                <c:pt idx="87">
                  <c:v>0.1885</c:v>
                </c:pt>
                <c:pt idx="88">
                  <c:v>0.190666666666667</c:v>
                </c:pt>
                <c:pt idx="89">
                  <c:v>0.192833333333333</c:v>
                </c:pt>
                <c:pt idx="90">
                  <c:v>0.195</c:v>
                </c:pt>
                <c:pt idx="91">
                  <c:v>0.197166666666667</c:v>
                </c:pt>
                <c:pt idx="92">
                  <c:v>0.199333333333333</c:v>
                </c:pt>
                <c:pt idx="93">
                  <c:v>0.2015</c:v>
                </c:pt>
                <c:pt idx="94">
                  <c:v>0.203666666666667</c:v>
                </c:pt>
                <c:pt idx="95">
                  <c:v>0.205833333333333</c:v>
                </c:pt>
                <c:pt idx="96">
                  <c:v>0.208</c:v>
                </c:pt>
                <c:pt idx="97">
                  <c:v>0.210166666666667</c:v>
                </c:pt>
                <c:pt idx="98">
                  <c:v>0.212333333333333</c:v>
                </c:pt>
                <c:pt idx="99">
                  <c:v>0.2145</c:v>
                </c:pt>
                <c:pt idx="100">
                  <c:v>0.216666666666667</c:v>
                </c:pt>
                <c:pt idx="101">
                  <c:v>0.218833333333333</c:v>
                </c:pt>
                <c:pt idx="102">
                  <c:v>0.221</c:v>
                </c:pt>
                <c:pt idx="103">
                  <c:v>0.223166666666667</c:v>
                </c:pt>
                <c:pt idx="104">
                  <c:v>0.225333333333333</c:v>
                </c:pt>
                <c:pt idx="105">
                  <c:v>0.2275</c:v>
                </c:pt>
                <c:pt idx="106">
                  <c:v>0.229666666666667</c:v>
                </c:pt>
                <c:pt idx="107">
                  <c:v>0.231833333333333</c:v>
                </c:pt>
                <c:pt idx="108">
                  <c:v>0.234</c:v>
                </c:pt>
                <c:pt idx="109">
                  <c:v>0.236166666666667</c:v>
                </c:pt>
                <c:pt idx="110">
                  <c:v>0.238333333333333</c:v>
                </c:pt>
                <c:pt idx="111">
                  <c:v>0.2405</c:v>
                </c:pt>
                <c:pt idx="112">
                  <c:v>0.242666666666667</c:v>
                </c:pt>
                <c:pt idx="113">
                  <c:v>0.244833333333333</c:v>
                </c:pt>
                <c:pt idx="114">
                  <c:v>0.247</c:v>
                </c:pt>
                <c:pt idx="115">
                  <c:v>0.249166666666667</c:v>
                </c:pt>
                <c:pt idx="116">
                  <c:v>0.251333333333333</c:v>
                </c:pt>
                <c:pt idx="117">
                  <c:v>0.2535</c:v>
                </c:pt>
                <c:pt idx="118">
                  <c:v>0.255666666666667</c:v>
                </c:pt>
                <c:pt idx="119">
                  <c:v>0.257833333333333</c:v>
                </c:pt>
                <c:pt idx="120">
                  <c:v>0.26</c:v>
                </c:pt>
                <c:pt idx="121">
                  <c:v>0.262166666666667</c:v>
                </c:pt>
                <c:pt idx="122">
                  <c:v>0.264333333333333</c:v>
                </c:pt>
                <c:pt idx="123">
                  <c:v>0.2665</c:v>
                </c:pt>
                <c:pt idx="124">
                  <c:v>0.268666666666667</c:v>
                </c:pt>
                <c:pt idx="125">
                  <c:v>0.270833333333333</c:v>
                </c:pt>
                <c:pt idx="126">
                  <c:v>0.273</c:v>
                </c:pt>
                <c:pt idx="127">
                  <c:v>0.275166666666667</c:v>
                </c:pt>
                <c:pt idx="128">
                  <c:v>0.277333333333333</c:v>
                </c:pt>
                <c:pt idx="129">
                  <c:v>0.2795</c:v>
                </c:pt>
                <c:pt idx="130">
                  <c:v>0.281666666666667</c:v>
                </c:pt>
                <c:pt idx="131">
                  <c:v>0.283833333333333</c:v>
                </c:pt>
                <c:pt idx="132">
                  <c:v>0.286</c:v>
                </c:pt>
                <c:pt idx="133">
                  <c:v>0.288166666666667</c:v>
                </c:pt>
                <c:pt idx="134">
                  <c:v>0.290333333333333</c:v>
                </c:pt>
                <c:pt idx="135">
                  <c:v>0.2925</c:v>
                </c:pt>
                <c:pt idx="136">
                  <c:v>0.294666666666667</c:v>
                </c:pt>
                <c:pt idx="137">
                  <c:v>0.296833333333333</c:v>
                </c:pt>
                <c:pt idx="138">
                  <c:v>0.299</c:v>
                </c:pt>
                <c:pt idx="139">
                  <c:v>0.301166666666667</c:v>
                </c:pt>
                <c:pt idx="140">
                  <c:v>0.303333333333333</c:v>
                </c:pt>
                <c:pt idx="141">
                  <c:v>0.3055</c:v>
                </c:pt>
                <c:pt idx="142">
                  <c:v>0.307666666666667</c:v>
                </c:pt>
                <c:pt idx="143">
                  <c:v>0.309833333333333</c:v>
                </c:pt>
                <c:pt idx="144">
                  <c:v>0.312</c:v>
                </c:pt>
                <c:pt idx="145">
                  <c:v>0.314166666666667</c:v>
                </c:pt>
                <c:pt idx="146">
                  <c:v>0.316333333333333</c:v>
                </c:pt>
                <c:pt idx="147">
                  <c:v>0.3185</c:v>
                </c:pt>
                <c:pt idx="148">
                  <c:v>0.320666666666667</c:v>
                </c:pt>
                <c:pt idx="149">
                  <c:v>0.322833333333333</c:v>
                </c:pt>
                <c:pt idx="150">
                  <c:v>0.325</c:v>
                </c:pt>
              </c:numCache>
            </c:numRef>
          </c:yVal>
          <c:smooth val="1"/>
        </c:ser>
        <c:ser>
          <c:idx val="3"/>
          <c:order val="3"/>
          <c:tx>
            <c:strRef>
              <c:f>"RCS"</c:f>
              <c:strCache>
                <c:ptCount val="1"/>
                <c:pt idx="0">
                  <c:v>RCS</c:v>
                </c:pt>
              </c:strCache>
            </c:strRef>
          </c:tx>
          <c:spPr>
            <a:ln w="28575" cap="rnd" cmpd="sng" algn="ctr">
              <a:solidFill>
                <a:schemeClr val="accent5">
                  <a:lumMod val="75000"/>
                </a:schemeClr>
              </a:solidFill>
              <a:prstDash val="lgDashDotDot"/>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Eff_vs_IOUT!$AO$7:$AO$157</c:f>
              <c:numCache>
                <c:formatCode>General</c:formatCode>
                <c:ptCount val="151"/>
                <c:pt idx="0">
                  <c:v>0</c:v>
                </c:pt>
                <c:pt idx="1">
                  <c:v>7.81484698862392e-5</c:v>
                </c:pt>
                <c:pt idx="2">
                  <c:v>0.000256743730202033</c:v>
                </c:pt>
                <c:pt idx="3">
                  <c:v>0.00052590085424733</c:v>
                </c:pt>
                <c:pt idx="4">
                  <c:v>0.000884210498541086</c:v>
                </c:pt>
                <c:pt idx="5">
                  <c:v>0.0013319615097833</c:v>
                </c:pt>
                <c:pt idx="6">
                  <c:v>0.00058896447467876</c:v>
                </c:pt>
                <c:pt idx="7">
                  <c:v>0.000733408919123205</c:v>
                </c:pt>
                <c:pt idx="8">
                  <c:v>0.000900075585789871</c:v>
                </c:pt>
                <c:pt idx="9">
                  <c:v>0.00108896447467876</c:v>
                </c:pt>
                <c:pt idx="10">
                  <c:v>0.00130007558578987</c:v>
                </c:pt>
                <c:pt idx="11">
                  <c:v>0.00153340891912321</c:v>
                </c:pt>
                <c:pt idx="12">
                  <c:v>0.00178896447467876</c:v>
                </c:pt>
                <c:pt idx="13">
                  <c:v>0.00206674225245654</c:v>
                </c:pt>
                <c:pt idx="14">
                  <c:v>0.00236674225245654</c:v>
                </c:pt>
                <c:pt idx="15">
                  <c:v>0.00268896447467876</c:v>
                </c:pt>
                <c:pt idx="16">
                  <c:v>0.00303340891912321</c:v>
                </c:pt>
                <c:pt idx="17">
                  <c:v>0.00340007558578987</c:v>
                </c:pt>
                <c:pt idx="18">
                  <c:v>0.00378896447467876</c:v>
                </c:pt>
                <c:pt idx="19">
                  <c:v>0.00420007558578987</c:v>
                </c:pt>
                <c:pt idx="20">
                  <c:v>0.0046334089191232</c:v>
                </c:pt>
                <c:pt idx="21">
                  <c:v>0.00508896447467876</c:v>
                </c:pt>
                <c:pt idx="22">
                  <c:v>0.00556674225245654</c:v>
                </c:pt>
                <c:pt idx="23">
                  <c:v>0.00606674225245654</c:v>
                </c:pt>
                <c:pt idx="24">
                  <c:v>0.00658896447467876</c:v>
                </c:pt>
                <c:pt idx="25">
                  <c:v>0.00713340891912321</c:v>
                </c:pt>
                <c:pt idx="26">
                  <c:v>0.00770007558578987</c:v>
                </c:pt>
                <c:pt idx="27">
                  <c:v>0.00828896447467876</c:v>
                </c:pt>
                <c:pt idx="28">
                  <c:v>0.00890007558578987</c:v>
                </c:pt>
                <c:pt idx="29">
                  <c:v>0.00953340891912321</c:v>
                </c:pt>
                <c:pt idx="30">
                  <c:v>0.0101889644746788</c:v>
                </c:pt>
                <c:pt idx="31">
                  <c:v>0.0108667422524565</c:v>
                </c:pt>
                <c:pt idx="32">
                  <c:v>0.0115667422524565</c:v>
                </c:pt>
                <c:pt idx="33">
                  <c:v>0.0122889644746788</c:v>
                </c:pt>
                <c:pt idx="34">
                  <c:v>0.0130334089191232</c:v>
                </c:pt>
                <c:pt idx="35">
                  <c:v>0.0138000755857899</c:v>
                </c:pt>
                <c:pt idx="36">
                  <c:v>0.0145889644746788</c:v>
                </c:pt>
                <c:pt idx="37">
                  <c:v>0.0154000755857899</c:v>
                </c:pt>
                <c:pt idx="38">
                  <c:v>0.0162334089191232</c:v>
                </c:pt>
                <c:pt idx="39">
                  <c:v>0.0170889644746788</c:v>
                </c:pt>
                <c:pt idx="40">
                  <c:v>0.0179667422524565</c:v>
                </c:pt>
                <c:pt idx="41">
                  <c:v>0.0188667422524565</c:v>
                </c:pt>
                <c:pt idx="42">
                  <c:v>0.0197889644746788</c:v>
                </c:pt>
                <c:pt idx="43">
                  <c:v>0.0207334089191232</c:v>
                </c:pt>
                <c:pt idx="44">
                  <c:v>0.0217000755857899</c:v>
                </c:pt>
                <c:pt idx="45">
                  <c:v>0.0226889644746788</c:v>
                </c:pt>
                <c:pt idx="46">
                  <c:v>0.0237000755857899</c:v>
                </c:pt>
                <c:pt idx="47">
                  <c:v>0.0247334089191232</c:v>
                </c:pt>
                <c:pt idx="48">
                  <c:v>0.0257889644746788</c:v>
                </c:pt>
                <c:pt idx="49">
                  <c:v>0.0268667422524565</c:v>
                </c:pt>
                <c:pt idx="50">
                  <c:v>0.0279667422524565</c:v>
                </c:pt>
                <c:pt idx="51">
                  <c:v>0.0290889644746788</c:v>
                </c:pt>
                <c:pt idx="52">
                  <c:v>0.0302334089191232</c:v>
                </c:pt>
                <c:pt idx="53">
                  <c:v>0.0314000755857899</c:v>
                </c:pt>
                <c:pt idx="54">
                  <c:v>0.0325889644746788</c:v>
                </c:pt>
                <c:pt idx="55">
                  <c:v>0.0338000755857899</c:v>
                </c:pt>
                <c:pt idx="56">
                  <c:v>0.0350334089191232</c:v>
                </c:pt>
                <c:pt idx="57">
                  <c:v>0.0362889644746788</c:v>
                </c:pt>
                <c:pt idx="58">
                  <c:v>0.0375667422524565</c:v>
                </c:pt>
                <c:pt idx="59">
                  <c:v>0.0388667422524565</c:v>
                </c:pt>
                <c:pt idx="60">
                  <c:v>0.0401889644746788</c:v>
                </c:pt>
                <c:pt idx="61">
                  <c:v>0.0415334089191232</c:v>
                </c:pt>
                <c:pt idx="62">
                  <c:v>0.0429000755857899</c:v>
                </c:pt>
                <c:pt idx="63">
                  <c:v>0.0442889644746788</c:v>
                </c:pt>
                <c:pt idx="64">
                  <c:v>0.0457000755857899</c:v>
                </c:pt>
                <c:pt idx="65">
                  <c:v>0.0471334089191232</c:v>
                </c:pt>
                <c:pt idx="66">
                  <c:v>0.0485889644746788</c:v>
                </c:pt>
                <c:pt idx="67">
                  <c:v>0.0500667422524565</c:v>
                </c:pt>
                <c:pt idx="68">
                  <c:v>0.0515667422524565</c:v>
                </c:pt>
                <c:pt idx="69">
                  <c:v>0.0530889644746788</c:v>
                </c:pt>
                <c:pt idx="70">
                  <c:v>0.0546334089191232</c:v>
                </c:pt>
                <c:pt idx="71">
                  <c:v>0.0562000755857899</c:v>
                </c:pt>
                <c:pt idx="72">
                  <c:v>0.0577889644746788</c:v>
                </c:pt>
                <c:pt idx="73">
                  <c:v>0.0594000755857899</c:v>
                </c:pt>
                <c:pt idx="74">
                  <c:v>0.0610334089191232</c:v>
                </c:pt>
                <c:pt idx="75">
                  <c:v>0.0626889644746788</c:v>
                </c:pt>
                <c:pt idx="76">
                  <c:v>0.0643667422524565</c:v>
                </c:pt>
                <c:pt idx="77">
                  <c:v>0.0660667422524566</c:v>
                </c:pt>
                <c:pt idx="78">
                  <c:v>0.0677889644746788</c:v>
                </c:pt>
                <c:pt idx="79">
                  <c:v>0.0695334089191232</c:v>
                </c:pt>
                <c:pt idx="80">
                  <c:v>0.0713000755857899</c:v>
                </c:pt>
                <c:pt idx="81">
                  <c:v>0.0730889644746788</c:v>
                </c:pt>
                <c:pt idx="82">
                  <c:v>0.0749000755857899</c:v>
                </c:pt>
                <c:pt idx="83">
                  <c:v>0.0767334089191232</c:v>
                </c:pt>
                <c:pt idx="84">
                  <c:v>0.0785889644746788</c:v>
                </c:pt>
                <c:pt idx="85">
                  <c:v>0.0804667422524565</c:v>
                </c:pt>
                <c:pt idx="86">
                  <c:v>0.0823667422524565</c:v>
                </c:pt>
                <c:pt idx="87">
                  <c:v>0.0842889644746788</c:v>
                </c:pt>
                <c:pt idx="88">
                  <c:v>0.0862334089191232</c:v>
                </c:pt>
                <c:pt idx="89">
                  <c:v>0.0882000755857899</c:v>
                </c:pt>
                <c:pt idx="90">
                  <c:v>0.0901889644746788</c:v>
                </c:pt>
                <c:pt idx="91">
                  <c:v>0.0922000755857899</c:v>
                </c:pt>
                <c:pt idx="92">
                  <c:v>0.0942334089191232</c:v>
                </c:pt>
                <c:pt idx="93">
                  <c:v>0.0962889644746788</c:v>
                </c:pt>
                <c:pt idx="94">
                  <c:v>0.0983667422524566</c:v>
                </c:pt>
                <c:pt idx="95">
                  <c:v>0.100466742252457</c:v>
                </c:pt>
                <c:pt idx="96">
                  <c:v>0.102588964474679</c:v>
                </c:pt>
                <c:pt idx="97">
                  <c:v>0.104733408919123</c:v>
                </c:pt>
                <c:pt idx="98">
                  <c:v>0.10690007558579</c:v>
                </c:pt>
                <c:pt idx="99">
                  <c:v>0.109088964474679</c:v>
                </c:pt>
                <c:pt idx="100">
                  <c:v>0.11130007558579</c:v>
                </c:pt>
                <c:pt idx="101">
                  <c:v>0.113533408919123</c:v>
                </c:pt>
                <c:pt idx="102">
                  <c:v>0.115788964474679</c:v>
                </c:pt>
                <c:pt idx="103">
                  <c:v>0.118066742252457</c:v>
                </c:pt>
                <c:pt idx="104">
                  <c:v>0.120366742252457</c:v>
                </c:pt>
                <c:pt idx="105">
                  <c:v>0.122688964474679</c:v>
                </c:pt>
                <c:pt idx="106">
                  <c:v>0.125033408919123</c:v>
                </c:pt>
                <c:pt idx="107">
                  <c:v>0.12740007558579</c:v>
                </c:pt>
                <c:pt idx="108">
                  <c:v>0.129788964474679</c:v>
                </c:pt>
                <c:pt idx="109">
                  <c:v>0.13220007558579</c:v>
                </c:pt>
                <c:pt idx="110">
                  <c:v>0.134633408919123</c:v>
                </c:pt>
                <c:pt idx="111">
                  <c:v>0.137088964474679</c:v>
                </c:pt>
                <c:pt idx="112">
                  <c:v>0.139566742252457</c:v>
                </c:pt>
                <c:pt idx="113">
                  <c:v>0.142066742252457</c:v>
                </c:pt>
                <c:pt idx="114">
                  <c:v>0.144588964474679</c:v>
                </c:pt>
                <c:pt idx="115">
                  <c:v>0.147133408919123</c:v>
                </c:pt>
                <c:pt idx="116">
                  <c:v>0.14970007558579</c:v>
                </c:pt>
                <c:pt idx="117">
                  <c:v>0.152288964474679</c:v>
                </c:pt>
                <c:pt idx="118">
                  <c:v>0.15490007558579</c:v>
                </c:pt>
                <c:pt idx="119">
                  <c:v>0.157533408919123</c:v>
                </c:pt>
                <c:pt idx="120">
                  <c:v>0.160188964474679</c:v>
                </c:pt>
                <c:pt idx="121">
                  <c:v>0.162866742252457</c:v>
                </c:pt>
                <c:pt idx="122">
                  <c:v>0.165566742252457</c:v>
                </c:pt>
                <c:pt idx="123">
                  <c:v>0.168288964474679</c:v>
                </c:pt>
                <c:pt idx="124">
                  <c:v>0.171033408919123</c:v>
                </c:pt>
                <c:pt idx="125">
                  <c:v>0.17380007558579</c:v>
                </c:pt>
                <c:pt idx="126">
                  <c:v>0.176588964474679</c:v>
                </c:pt>
                <c:pt idx="127">
                  <c:v>0.17940007558579</c:v>
                </c:pt>
                <c:pt idx="128">
                  <c:v>0.182233408919123</c:v>
                </c:pt>
                <c:pt idx="129">
                  <c:v>0.185088964474679</c:v>
                </c:pt>
                <c:pt idx="130">
                  <c:v>0.187966742252457</c:v>
                </c:pt>
                <c:pt idx="131">
                  <c:v>0.190866742252457</c:v>
                </c:pt>
                <c:pt idx="132">
                  <c:v>0.193788964474679</c:v>
                </c:pt>
                <c:pt idx="133">
                  <c:v>0.196733408919123</c:v>
                </c:pt>
                <c:pt idx="134">
                  <c:v>0.19970007558579</c:v>
                </c:pt>
                <c:pt idx="135">
                  <c:v>0.202688964474679</c:v>
                </c:pt>
                <c:pt idx="136">
                  <c:v>0.20570007558579</c:v>
                </c:pt>
                <c:pt idx="137">
                  <c:v>0.208733408919123</c:v>
                </c:pt>
                <c:pt idx="138">
                  <c:v>0.211788964474679</c:v>
                </c:pt>
                <c:pt idx="139">
                  <c:v>0.214866742252457</c:v>
                </c:pt>
                <c:pt idx="140">
                  <c:v>0.217966742252457</c:v>
                </c:pt>
                <c:pt idx="141">
                  <c:v>0.221088964474679</c:v>
                </c:pt>
                <c:pt idx="142">
                  <c:v>0.224233408919123</c:v>
                </c:pt>
                <c:pt idx="143">
                  <c:v>0.22740007558579</c:v>
                </c:pt>
                <c:pt idx="144">
                  <c:v>0.230588964474679</c:v>
                </c:pt>
                <c:pt idx="145">
                  <c:v>0.23380007558579</c:v>
                </c:pt>
                <c:pt idx="146">
                  <c:v>0.237033408919123</c:v>
                </c:pt>
                <c:pt idx="147">
                  <c:v>0.240288964474679</c:v>
                </c:pt>
                <c:pt idx="148">
                  <c:v>0.243566742252457</c:v>
                </c:pt>
                <c:pt idx="149">
                  <c:v>0.246866742252457</c:v>
                </c:pt>
                <c:pt idx="150">
                  <c:v>0.250188964474679</c:v>
                </c:pt>
              </c:numCache>
            </c:numRef>
          </c:yVal>
          <c:smooth val="1"/>
        </c:ser>
        <c:dLbls>
          <c:showLegendKey val="0"/>
          <c:showVal val="0"/>
          <c:showCatName val="0"/>
          <c:showSerName val="0"/>
          <c:showPercent val="0"/>
          <c:showBubbleSize val="0"/>
        </c:dLbls>
        <c:axId val="178635520"/>
        <c:axId val="178616960"/>
      </c:scatterChart>
      <c:valAx>
        <c:axId val="178605056"/>
        <c:scaling>
          <c:orientation val="minMax"/>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15040"/>
        <c:crosses val="autoZero"/>
        <c:crossBetween val="midCat"/>
      </c:valAx>
      <c:valAx>
        <c:axId val="178615040"/>
        <c:scaling>
          <c:orientation val="minMax"/>
          <c:max val="100"/>
          <c:min val="60"/>
        </c:scaling>
        <c:delete val="0"/>
        <c:axPos val="l"/>
        <c:majorGridlines/>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Efficiency</a:t>
                </a:r>
                <a:r>
                  <a:rPr lang="en-US" sz="1400" baseline="0"/>
                  <a:t> (%)</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05056"/>
        <c:crosses val="autoZero"/>
        <c:crossBetween val="midCat"/>
      </c:valAx>
      <c:valAx>
        <c:axId val="178635520"/>
        <c:scaling>
          <c:orientation val="minMax"/>
        </c:scaling>
        <c:delete val="1"/>
        <c:axPos val="b"/>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Loac</a:t>
                </a:r>
                <a:r>
                  <a:rPr lang="en-US" baseline="0"/>
                  <a:t> Current (A)</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16960"/>
        <c:crosses val="autoZero"/>
        <c:crossBetween val="midCat"/>
      </c:valAx>
      <c:valAx>
        <c:axId val="178616960"/>
        <c:scaling>
          <c:orientation val="minMax"/>
        </c:scaling>
        <c:delete val="0"/>
        <c:axPos val="r"/>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Losses</a:t>
                </a:r>
                <a:r>
                  <a:rPr lang="en-US" sz="1400" baseline="0"/>
                  <a:t> (W)</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35520"/>
        <c:crosses val="max"/>
        <c:crossBetween val="midCat"/>
      </c:valAx>
    </c:plotArea>
    <c:legend>
      <c:legendPos val="r"/>
      <c:layout>
        <c:manualLayout>
          <c:xMode val="edge"/>
          <c:yMode val="edge"/>
          <c:x val="0.518944039261904"/>
          <c:y val="0.00648622047244094"/>
          <c:w val="0.396095729357041"/>
          <c:h val="0.121836530997006"/>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1d3f89-6278-44e1-9e6e-868c9937126f}"/>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trlProps/ctrlProp1.xml><?xml version="1.0" encoding="utf-8"?>
<formControlPr xmlns="http://schemas.microsoft.com/office/spreadsheetml/2009/9/main" objectType="Spin" dx="20" fmlaLink="Loop_Modeling!$B$16" max="60" noThreeD="1" page="10" val="4"/>
</file>

<file path=xl/drawings/_rels/drawing1.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2.GIF"/><Relationship Id="rId1" Type="http://schemas.openxmlformats.org/officeDocument/2006/relationships/hyperlink" Target="http://www.ti.com" TargetMode="Externa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8" Type="http://schemas.openxmlformats.org/officeDocument/2006/relationships/image" Target="../media/image4.png"/><Relationship Id="rId7" Type="http://schemas.openxmlformats.org/officeDocument/2006/relationships/image" Target="../media/image3.pn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9</xdr:col>
      <xdr:colOff>22860</xdr:colOff>
      <xdr:row>52</xdr:row>
      <xdr:rowOff>1</xdr:rowOff>
    </xdr:from>
    <xdr:to>
      <xdr:col>25</xdr:col>
      <xdr:colOff>598714</xdr:colOff>
      <xdr:row>73</xdr:row>
      <xdr:rowOff>175261</xdr:rowOff>
    </xdr:to>
    <xdr:graphicFrame>
      <xdr:nvGraphicFramePr>
        <xdr:cNvPr id="2" name="Chart 1"/>
        <xdr:cNvGraphicFramePr/>
      </xdr:nvGraphicFramePr>
      <xdr:xfrm>
        <a:off x="5233035" y="11289665"/>
        <a:ext cx="9635490" cy="460438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22861</xdr:colOff>
      <xdr:row>76</xdr:row>
      <xdr:rowOff>7620</xdr:rowOff>
    </xdr:from>
    <xdr:to>
      <xdr:col>25</xdr:col>
      <xdr:colOff>600637</xdr:colOff>
      <xdr:row>100</xdr:row>
      <xdr:rowOff>163286</xdr:rowOff>
    </xdr:to>
    <xdr:graphicFrame>
      <xdr:nvGraphicFramePr>
        <xdr:cNvPr id="6" name="Chart 5"/>
        <xdr:cNvGraphicFramePr/>
      </xdr:nvGraphicFramePr>
      <xdr:xfrm>
        <a:off x="5233035" y="16402685"/>
        <a:ext cx="9635490" cy="49942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xdr:from>
          <xdr:col>7</xdr:col>
          <xdr:colOff>752474</xdr:colOff>
          <xdr:row>58</xdr:row>
          <xdr:rowOff>0</xdr:rowOff>
        </xdr:from>
        <xdr:to>
          <xdr:col>8</xdr:col>
          <xdr:colOff>269327</xdr:colOff>
          <xdr:row>60</xdr:row>
          <xdr:rowOff>0</xdr:rowOff>
        </xdr:to>
        <xdr:sp>
          <xdr:nvSpPr>
            <xdr:cNvPr id="1060" name="Spinner 36" hidden="1">
              <a:extLst>
                <a:ext uri="{63B3BB69-23CF-44E3-9099-C40C66FF867C}">
                  <a14:compatExt spid="_x0000_s1060"/>
                </a:ext>
              </a:extLst>
            </xdr:cNvPr>
            <xdr:cNvSpPr/>
          </xdr:nvSpPr>
          <xdr:spPr>
            <a:xfrm>
              <a:off x="4885690" y="12442190"/>
              <a:ext cx="317500" cy="428625"/>
            </a:xfrm>
            <a:prstGeom prst="rect">
              <a:avLst/>
            </a:prstGeom>
          </xdr:spPr>
        </xdr:sp>
        <xdr:clientData/>
      </xdr:twoCellAnchor>
    </mc:Choice>
    <mc:Fallback/>
  </mc:AlternateContent>
  <xdr:twoCellAnchor>
    <xdr:from>
      <xdr:col>13</xdr:col>
      <xdr:colOff>560313</xdr:colOff>
      <xdr:row>51</xdr:row>
      <xdr:rowOff>62752</xdr:rowOff>
    </xdr:from>
    <xdr:to>
      <xdr:col>15</xdr:col>
      <xdr:colOff>289878</xdr:colOff>
      <xdr:row>53</xdr:row>
      <xdr:rowOff>161363</xdr:rowOff>
    </xdr:to>
    <xdr:sp>
      <xdr:nvSpPr>
        <xdr:cNvPr id="4" name="TextBox 3"/>
        <xdr:cNvSpPr txBox="1"/>
      </xdr:nvSpPr>
      <xdr:spPr>
        <a:xfrm>
          <a:off x="7865745" y="11161395"/>
          <a:ext cx="910590"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r>
            <a:rPr lang="en-US" sz="2400" baseline="-25000"/>
            <a:t>IN</a:t>
          </a:r>
          <a:r>
            <a:rPr lang="en-US" sz="2400"/>
            <a:t> =</a:t>
          </a:r>
          <a:endParaRPr lang="en-US" sz="2400"/>
        </a:p>
      </xdr:txBody>
    </xdr:sp>
    <xdr:clientData/>
  </xdr:twoCellAnchor>
  <xdr:twoCellAnchor>
    <xdr:from>
      <xdr:col>15</xdr:col>
      <xdr:colOff>130006</xdr:colOff>
      <xdr:row>51</xdr:row>
      <xdr:rowOff>71718</xdr:rowOff>
    </xdr:from>
    <xdr:to>
      <xdr:col>16</xdr:col>
      <xdr:colOff>461700</xdr:colOff>
      <xdr:row>53</xdr:row>
      <xdr:rowOff>170330</xdr:rowOff>
    </xdr:to>
    <xdr:sp textlink="VIN_var">
      <xdr:nvSpPr>
        <xdr:cNvPr id="3" name="TextBox 2"/>
        <xdr:cNvSpPr txBox="1"/>
      </xdr:nvSpPr>
      <xdr:spPr>
        <a:xfrm>
          <a:off x="8616315" y="11170285"/>
          <a:ext cx="922655"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945AF08-B1D6-47C0-A1D9-CF710D8B3736}" type="TxLink">
            <a:rPr lang="en-US" sz="2400" b="0" i="0" u="none" strike="noStrike">
              <a:solidFill>
                <a:srgbClr val="000000"/>
              </a:solidFill>
              <a:latin typeface="Calibri" panose="020F0502020204030204"/>
              <a:cs typeface="Calibri" panose="020F0502020204030204"/>
            </a:rPr>
            <a:t>4</a:t>
          </a:fld>
          <a:endParaRPr lang="en-US" sz="4800"/>
        </a:p>
      </xdr:txBody>
    </xdr:sp>
    <xdr:clientData/>
  </xdr:twoCellAnchor>
  <xdr:twoCellAnchor>
    <xdr:from>
      <xdr:col>16</xdr:col>
      <xdr:colOff>271973</xdr:colOff>
      <xdr:row>51</xdr:row>
      <xdr:rowOff>62752</xdr:rowOff>
    </xdr:from>
    <xdr:to>
      <xdr:col>18</xdr:col>
      <xdr:colOff>11996</xdr:colOff>
      <xdr:row>53</xdr:row>
      <xdr:rowOff>161363</xdr:rowOff>
    </xdr:to>
    <xdr:sp>
      <xdr:nvSpPr>
        <xdr:cNvPr id="12" name="TextBox 11"/>
        <xdr:cNvSpPr txBox="1"/>
      </xdr:nvSpPr>
      <xdr:spPr>
        <a:xfrm>
          <a:off x="9349105" y="11161395"/>
          <a:ext cx="920750"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endParaRPr lang="en-US" sz="2400"/>
        </a:p>
      </xdr:txBody>
    </xdr:sp>
    <xdr:clientData/>
  </xdr:twoCellAnchor>
  <xdr:twoCellAnchor>
    <xdr:from>
      <xdr:col>11</xdr:col>
      <xdr:colOff>376517</xdr:colOff>
      <xdr:row>76</xdr:row>
      <xdr:rowOff>26894</xdr:rowOff>
    </xdr:from>
    <xdr:to>
      <xdr:col>13</xdr:col>
      <xdr:colOff>116540</xdr:colOff>
      <xdr:row>78</xdr:row>
      <xdr:rowOff>134470</xdr:rowOff>
    </xdr:to>
    <xdr:sp>
      <xdr:nvSpPr>
        <xdr:cNvPr id="9" name="TextBox 8"/>
        <xdr:cNvSpPr txBox="1"/>
      </xdr:nvSpPr>
      <xdr:spPr>
        <a:xfrm>
          <a:off x="6500495" y="16421735"/>
          <a:ext cx="92138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r>
            <a:rPr lang="en-US" sz="2400" baseline="-25000"/>
            <a:t>IN</a:t>
          </a:r>
          <a:r>
            <a:rPr lang="en-US" sz="2400"/>
            <a:t> =</a:t>
          </a:r>
          <a:endParaRPr lang="en-US" sz="2400"/>
        </a:p>
      </xdr:txBody>
    </xdr:sp>
    <xdr:clientData/>
  </xdr:twoCellAnchor>
  <xdr:twoCellAnchor>
    <xdr:from>
      <xdr:col>13</xdr:col>
      <xdr:colOff>67851</xdr:colOff>
      <xdr:row>76</xdr:row>
      <xdr:rowOff>35860</xdr:rowOff>
    </xdr:from>
    <xdr:to>
      <xdr:col>14</xdr:col>
      <xdr:colOff>417475</xdr:colOff>
      <xdr:row>78</xdr:row>
      <xdr:rowOff>143437</xdr:rowOff>
    </xdr:to>
    <xdr:sp textlink="VIN_var">
      <xdr:nvSpPr>
        <xdr:cNvPr id="10" name="TextBox 9"/>
        <xdr:cNvSpPr txBox="1"/>
      </xdr:nvSpPr>
      <xdr:spPr>
        <a:xfrm>
          <a:off x="7372985" y="16430625"/>
          <a:ext cx="94043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3B256A8-11FB-4B1E-A1DF-DFACC41BEEAC}" type="TxLink">
            <a:rPr lang="en-US" sz="2400" b="0" i="0" u="none" strike="noStrike">
              <a:solidFill>
                <a:srgbClr val="000000"/>
              </a:solidFill>
              <a:latin typeface="Calibri" panose="020F0502020204030204"/>
              <a:cs typeface="Calibri" panose="020F0502020204030204"/>
            </a:rPr>
            <a:t>4</a:t>
          </a:fld>
          <a:endParaRPr lang="en-US" sz="4800"/>
        </a:p>
      </xdr:txBody>
    </xdr:sp>
    <xdr:clientData/>
  </xdr:twoCellAnchor>
  <xdr:twoCellAnchor>
    <xdr:from>
      <xdr:col>13</xdr:col>
      <xdr:colOff>554332</xdr:colOff>
      <xdr:row>76</xdr:row>
      <xdr:rowOff>26894</xdr:rowOff>
    </xdr:from>
    <xdr:to>
      <xdr:col>15</xdr:col>
      <xdr:colOff>283896</xdr:colOff>
      <xdr:row>78</xdr:row>
      <xdr:rowOff>134470</xdr:rowOff>
    </xdr:to>
    <xdr:sp>
      <xdr:nvSpPr>
        <xdr:cNvPr id="11" name="TextBox 10"/>
        <xdr:cNvSpPr txBox="1"/>
      </xdr:nvSpPr>
      <xdr:spPr>
        <a:xfrm>
          <a:off x="7859395" y="16421735"/>
          <a:ext cx="91122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endParaRPr lang="en-US" sz="2400"/>
        </a:p>
      </xdr:txBody>
    </xdr:sp>
    <xdr:clientData/>
  </xdr:twoCellAnchor>
  <xdr:twoCellAnchor>
    <xdr:from>
      <xdr:col>11</xdr:col>
      <xdr:colOff>89647</xdr:colOff>
      <xdr:row>67</xdr:row>
      <xdr:rowOff>134471</xdr:rowOff>
    </xdr:from>
    <xdr:to>
      <xdr:col>15</xdr:col>
      <xdr:colOff>201684</xdr:colOff>
      <xdr:row>68</xdr:row>
      <xdr:rowOff>114300</xdr:rowOff>
    </xdr:to>
    <xdr:sp textlink="Loop_Modeling!A77">
      <xdr:nvSpPr>
        <xdr:cNvPr id="13" name="TextBox 12"/>
        <xdr:cNvSpPr txBox="1"/>
      </xdr:nvSpPr>
      <xdr:spPr>
        <a:xfrm>
          <a:off x="6214110" y="14481175"/>
          <a:ext cx="2473960" cy="2184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37CE13BC-923D-44DF-81B9-035F6847C9BD}" type="TxLink">
            <a:rPr lang="en-US" sz="1100" b="1" i="0" u="none" strike="noStrike">
              <a:solidFill>
                <a:srgbClr val="FF0000"/>
              </a:solidFill>
              <a:latin typeface="Calibri" panose="020F0502020204030204"/>
              <a:cs typeface="Calibri" panose="020F0502020204030204"/>
            </a:rPr>
            <a:t>Crossover Frequency = 0,6 kHz</a:t>
          </a:fld>
          <a:endParaRPr lang="en-US" sz="2400" b="1">
            <a:solidFill>
              <a:srgbClr val="FF0000"/>
            </a:solidFill>
            <a:latin typeface="+mn-lt"/>
            <a:cs typeface="Arial" panose="020B0604020202020204" pitchFamily="7" charset="0"/>
          </a:endParaRPr>
        </a:p>
      </xdr:txBody>
    </xdr:sp>
    <xdr:clientData/>
  </xdr:twoCellAnchor>
  <xdr:twoCellAnchor>
    <xdr:from>
      <xdr:col>11</xdr:col>
      <xdr:colOff>156882</xdr:colOff>
      <xdr:row>69</xdr:row>
      <xdr:rowOff>56030</xdr:rowOff>
    </xdr:from>
    <xdr:to>
      <xdr:col>13</xdr:col>
      <xdr:colOff>202023</xdr:colOff>
      <xdr:row>70</xdr:row>
      <xdr:rowOff>31810</xdr:rowOff>
    </xdr:to>
    <xdr:sp textlink="Loop_Modeling!A78">
      <xdr:nvSpPr>
        <xdr:cNvPr id="14" name="TextBox 13"/>
        <xdr:cNvSpPr txBox="1"/>
      </xdr:nvSpPr>
      <xdr:spPr>
        <a:xfrm>
          <a:off x="6281420" y="14831695"/>
          <a:ext cx="1226185" cy="1758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6C0E0563-A684-422E-8470-05FA83E0B546}" type="TxLink">
            <a:rPr lang="en-US" sz="1100" b="1" i="0" u="none" strike="noStrike">
              <a:solidFill>
                <a:srgbClr val="002060"/>
              </a:solidFill>
              <a:latin typeface="Calibri" panose="020F0502020204030204"/>
              <a:cs typeface="Calibri" panose="020F0502020204030204"/>
            </a:rPr>
            <a:t>Phase Margin = 63°</a:t>
          </a:fld>
          <a:endParaRPr lang="en-US" sz="2400" b="1">
            <a:solidFill>
              <a:srgbClr val="002060"/>
            </a:solidFill>
          </a:endParaRPr>
        </a:p>
      </xdr:txBody>
    </xdr:sp>
    <xdr:clientData/>
  </xdr:twoCellAnchor>
  <xdr:twoCellAnchor editAs="oneCell">
    <xdr:from>
      <xdr:col>10</xdr:col>
      <xdr:colOff>324970</xdr:colOff>
      <xdr:row>11</xdr:row>
      <xdr:rowOff>59671</xdr:rowOff>
    </xdr:from>
    <xdr:to>
      <xdr:col>25</xdr:col>
      <xdr:colOff>37679</xdr:colOff>
      <xdr:row>33</xdr:row>
      <xdr:rowOff>212911</xdr:rowOff>
    </xdr:to>
    <xdr:pic>
      <xdr:nvPicPr>
        <xdr:cNvPr id="8" name="Picture 7"/>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5858510" y="2661920"/>
          <a:ext cx="8456930" cy="4801870"/>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152400</xdr:rowOff>
    </xdr:from>
    <xdr:to>
      <xdr:col>1</xdr:col>
      <xdr:colOff>592455</xdr:colOff>
      <xdr:row>2</xdr:row>
      <xdr:rowOff>83771</xdr:rowOff>
    </xdr:to>
    <xdr:pic>
      <xdr:nvPicPr>
        <xdr:cNvPr id="2" name="Picture 1" descr="ti logo">
          <a:hlinkClick xmlns:r="http://schemas.openxmlformats.org/officeDocument/2006/relationships" r:id="rId1"/>
        </xdr:cNvPr>
        <xdr:cNvPicPr>
          <a:picLocks noChangeAspect="1" noChangeArrowheads="1"/>
        </xdr:cNvPicPr>
      </xdr:nvPicPr>
      <xdr:blipFill>
        <a:blip r:embed="rId2" cstate="print">
          <a:extLst>
            <a:ext uri="{28A0092B-C50C-407E-A947-70E740481C1C}">
              <a14:useLocalDpi xmlns:a14="http://schemas.microsoft.com/office/drawing/2010/main" val="0"/>
            </a:ext>
          </a:extLst>
        </a:blip>
        <a:srcRect/>
        <a:stretch>
          <a:fillRect/>
        </a:stretch>
      </xdr:blipFill>
      <xdr:spPr>
        <a:xfrm>
          <a:off x="0" y="152400"/>
          <a:ext cx="2306955" cy="292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xdr:nvSpPr>
        <xdr:cNvPr id="3" name="TextBox 2"/>
        <xdr:cNvSpPr txBox="1"/>
      </xdr:nvSpPr>
      <xdr:spPr>
        <a:xfrm>
          <a:off x="1914525" y="114300"/>
          <a:ext cx="3752850" cy="3816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endParaRPr lang="en-US" sz="1600">
            <a:latin typeface="Arial Black" panose="020B0A04020102020204" pitchFamily="34" charset="0"/>
          </a:endParaRPr>
        </a:p>
      </xdr:txBody>
    </xdr:sp>
    <xdr:clientData/>
  </xdr:oneCellAnchor>
  <xdr:oneCellAnchor>
    <xdr:from>
      <xdr:col>3</xdr:col>
      <xdr:colOff>323850</xdr:colOff>
      <xdr:row>1</xdr:row>
      <xdr:rowOff>28575</xdr:rowOff>
    </xdr:from>
    <xdr:ext cx="4719497" cy="254557"/>
    <xdr:sp>
      <xdr:nvSpPr>
        <xdr:cNvPr id="4" name="TextBox 3">
          <a:hlinkClick xmlns:r="http://schemas.openxmlformats.org/officeDocument/2006/relationships" r:id="rId3"/>
        </xdr:cNvPr>
        <xdr:cNvSpPr txBox="1"/>
      </xdr:nvSpPr>
      <xdr:spPr>
        <a:xfrm>
          <a:off x="6419850" y="209550"/>
          <a:ext cx="471932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7" charset="0"/>
              <a:ea typeface="+mn-ea"/>
              <a:cs typeface="Arial" panose="020B0604020202020204" pitchFamily="7" charset="0"/>
            </a:rPr>
            <a:t>© Copyright 2024</a:t>
          </a:r>
          <a:r>
            <a:rPr lang="en-US" sz="1100" b="0" i="0">
              <a:solidFill>
                <a:schemeClr val="tx1"/>
              </a:solidFill>
              <a:effectLst/>
              <a:latin typeface="Arial" panose="020B0604020202020204" pitchFamily="7" charset="0"/>
              <a:ea typeface="+mn-ea"/>
              <a:cs typeface="Arial" panose="020B0604020202020204" pitchFamily="7" charset="0"/>
            </a:rPr>
            <a:t> Texas Instruments Incorporated. All rights reserved.</a:t>
          </a:r>
          <a:endParaRPr lang="en-US" sz="1100" b="0">
            <a:latin typeface="Arial" panose="020B0604020202020204" pitchFamily="7" charset="0"/>
            <a:cs typeface="Arial" panose="020B0604020202020204" pitchFamily="7" charset="0"/>
          </a:endParaRPr>
        </a:p>
      </xdr:txBody>
    </xdr:sp>
    <xdr:clientData/>
  </xdr:oneCellAnchor>
  <xdr:oneCellAnchor>
    <xdr:from>
      <xdr:col>0</xdr:col>
      <xdr:colOff>95247</xdr:colOff>
      <xdr:row>6</xdr:row>
      <xdr:rowOff>47623</xdr:rowOff>
    </xdr:from>
    <xdr:ext cx="11229977" cy="4086227"/>
    <xdr:sp>
      <xdr:nvSpPr>
        <xdr:cNvPr id="5" name="TextBox 4"/>
        <xdr:cNvSpPr txBox="1"/>
      </xdr:nvSpPr>
      <xdr:spPr>
        <a:xfrm>
          <a:off x="94615" y="1132840"/>
          <a:ext cx="11229975" cy="408686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1">
              <a:latin typeface="Arial" panose="020B0604020202020204" pitchFamily="7" charset="0"/>
              <a:cs typeface="Arial" panose="020B0604020202020204" pitchFamily="7" charset="0"/>
            </a:rPr>
            <a:t>LICENSE INFORMATION:</a:t>
          </a:r>
          <a:endParaRPr lang="en-US" sz="1000" b="1">
            <a:latin typeface="Arial" panose="020B0604020202020204" pitchFamily="7" charset="0"/>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Copyright (c) 2021 Texas Instruments Incorporated</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All rights reserved not granted herein.</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Limited License.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Texas Instruments Incorporated grants a world-wide, royalty-free, non-exclusive license under copyrights and patents it now or hereafter owns or controls to make, have made, use, import, offer to sell and sell ("Utilize") this software subject to the terms herein.  With respect to the foregoing patent license, such license is granted  solely to the extent that any such patent is necessary to Utilize the software alone.  The patent license shall not apply to any combinations which include this software, other than combinations with devices manufactured by or for TI (“TI Devices”).  No hardware patent is licensed hereunder.</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Redistributions must preserve existing copyright notices and reproduce this license (including the above copyright notice and the disclaimer and (if applicable) source code license limitations below) in the documentation and/or other materials provided with the distribution</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Redistribution and use in binary form, without modification, are permitted provided that the following conditions are met:</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No reverse engineering, decompilation, or disassembly of this software is permitted with respect to any software provided in binary form.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Nothing shall obligate TI to provide you with source code for the software licensed and provided to you in object code.</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If software source code is provided to you, modification and redistribution of the source code are permitted provided that the following conditions are met:</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of the source code, including any resulting derivative works,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of any object code compiled from the source code and any resulting derivative works,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Neither the name of Texas Instruments Incorporated nor the names of its suppliers may be used to endorse or promote products derived from this software without specific prior written permission.</a:t>
          </a:r>
          <a:endParaRPr lang="en-US" sz="1000" b="1">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endParaRPr lang="en-US" sz="1000" baseline="0">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r>
            <a:rPr lang="en-US" sz="1000" b="1" baseline="0">
              <a:latin typeface="Arial" panose="020B0604020202020204" pitchFamily="7" charset="0"/>
              <a:cs typeface="Arial" panose="020B0604020202020204" pitchFamily="7" charset="0"/>
            </a:rPr>
            <a:t>DISCLAMER:</a:t>
          </a:r>
          <a:endParaRPr lang="en-US" sz="1000" b="1" baseline="0">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r>
            <a:rPr lang="en-US" sz="800" baseline="0">
              <a:latin typeface="Arial" panose="020B0604020202020204" pitchFamily="7" charset="0"/>
              <a:cs typeface="Arial" panose="020B0604020202020204" pitchFamily="7" charset="0"/>
            </a:rPr>
            <a:t>THIS SOFTWARE IS PROVIDED BY TI AND TI’S LICENSORS "AS IS" AND ANY EXPRESS OR IMPLIED WARRANTIES, INCLUDING, BUT NOT LIMITED TO, THE IMPLIED WARRANTIES OF MERCHANTABILITY AND FITNESS FOR A PARTICULAR PURPOSE ARE DISCLAIMED. IN NO EVENT SHALL TI AND TI’S LICENSORS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a:t>
          </a:r>
          <a:endParaRPr lang="en-US" sz="800" baseline="0">
            <a:latin typeface="Arial" panose="020B0604020202020204" pitchFamily="7" charset="0"/>
            <a:cs typeface="Arial" panose="020B0604020202020204" pitchFamily="7" charset="0"/>
          </a:endParaRPr>
        </a:p>
      </xdr:txBody>
    </xdr:sp>
    <xdr:clientData/>
  </xdr:oneCellAnchor>
  <xdr:oneCellAnchor>
    <xdr:from>
      <xdr:col>0</xdr:col>
      <xdr:colOff>95247</xdr:colOff>
      <xdr:row>29</xdr:row>
      <xdr:rowOff>47623</xdr:rowOff>
    </xdr:from>
    <xdr:ext cx="11229977" cy="809627"/>
    <xdr:sp>
      <xdr:nvSpPr>
        <xdr:cNvPr id="6" name="TextBox 5"/>
        <xdr:cNvSpPr txBox="1"/>
      </xdr:nvSpPr>
      <xdr:spPr>
        <a:xfrm>
          <a:off x="94615" y="5295265"/>
          <a:ext cx="11229975" cy="810260"/>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7" charset="0"/>
            <a:cs typeface="Arial" panose="020B0604020202020204" pitchFamily="7" charset="0"/>
          </a:endParaRPr>
        </a:p>
      </xdr:txBody>
    </xdr:sp>
    <xdr:clientData/>
  </xdr:oneCellAnchor>
  <xdr:oneCellAnchor>
    <xdr:from>
      <xdr:col>0</xdr:col>
      <xdr:colOff>95247</xdr:colOff>
      <xdr:row>6</xdr:row>
      <xdr:rowOff>47623</xdr:rowOff>
    </xdr:from>
    <xdr:ext cx="11229977" cy="4200527"/>
    <xdr:sp>
      <xdr:nvSpPr>
        <xdr:cNvPr id="7" name="TextBox 6"/>
        <xdr:cNvSpPr txBox="1"/>
      </xdr:nvSpPr>
      <xdr:spPr>
        <a:xfrm>
          <a:off x="94615" y="1132840"/>
          <a:ext cx="11229975" cy="420116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algn="ctr" defTabSz="914400" eaLnBrk="1" fontAlgn="auto" latinLnBrk="0" hangingPunct="1">
            <a:lnSpc>
              <a:spcPct val="100000"/>
            </a:lnSpc>
            <a:spcBef>
              <a:spcPts val="0"/>
            </a:spcBef>
            <a:spcAft>
              <a:spcPts val="0"/>
            </a:spcAft>
            <a:buClrTx/>
            <a:buSzTx/>
            <a:buFontTx/>
            <a:buNone/>
            <a:defRPr/>
          </a:pPr>
          <a:r>
            <a:rPr kumimoji="0" lang="en-US" sz="1800" b="1" i="0" u="none" strike="noStrike" kern="0" cap="none" spc="0" normalizeH="0" baseline="0" noProof="0">
              <a:ln>
                <a:noFill/>
              </a:ln>
              <a:solidFill>
                <a:sysClr val="windowText" lastClr="000000"/>
              </a:solidFill>
              <a:effectLst/>
              <a:uLnTx/>
              <a:uFillTx/>
              <a:latin typeface="+mn-lt"/>
              <a:ea typeface="+mn-ea"/>
              <a:cs typeface="+mn-cs"/>
            </a:rPr>
            <a:t>IMPORTANT NOTICE AND DISCLAIMER</a:t>
          </a:r>
          <a:endParaRPr kumimoji="0" lang="en-US" sz="1800" b="1"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10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PROVIDES TECHNICAL AND RELIABILITY DATA (INCLUDING DATA SHEETS), DESIGN RESOURCES (INCLUDING REFERENCE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DESIGNS), APPLICATION OR OTHER DESIGN ADVICE, WEB TOOLS, SAFETY INFORMATION, AND OTHER RESOURCES “AS IS”</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AND WITH ALL FAULTS, AND DISCLAIMS ALL WARRANTIES, EXPRESS AND IMPLIED, INCLUDING WITHOUT LIMITATION ANY</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IMPLIED WARRANTIES OF MERCHANTABILITY, FITNESS FOR A PARTICULAR PURPOSE OR NON-INFRINGEMENT OF THIRD</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PARTY INTELLECTUAL PROPERTY RIGHTS.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These resources are intended for skilled developers designing with TI products. You are solely responsible for (1) selecting the appropriate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products for your application, (2) designing, validating and testing your application, and (3) ensuring your application meets applicable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standards, and any other safety, security, regulatory or other requirements.</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These resources are subject to change without notice. TI grants you permission to use these resources only for development of an</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application that uses the TI products described in the resource. Other reproduction and display of these resources is prohibited. No license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is granted to any other TI intellectual property right or to any third party intellectual property right. TI disclaims responsibility for, and you</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will fully indemnify TI and its representatives against, any claims, damages, costs, losses, and liabilities arising out of your use of these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resources.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TI’s products are provided subject to TI’s Terms of Sale or other applicable terms available either on ti.com or provided in conjunction with</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such TI products. TI’s provision of these resources does not expand or otherwise alter TI’s applicable warranties or warranty disclaimers for</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products.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objects to and rejects any additional or different terms you may have proposed. IMPORTANT NOTICE</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Mailing Address: Texas Instruments, Post Office Box 655303, Dallas, Texas 75265</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Copyright © 2024, Texas Instruments Incorporated</a:t>
          </a:r>
          <a:endParaRPr kumimoji="0" lang="en-US" sz="700" b="0" i="0" u="none" strike="noStrike" kern="0" cap="none" spc="0" normalizeH="0" baseline="0" noProof="0">
            <a:ln>
              <a:noFill/>
            </a:ln>
            <a:solidFill>
              <a:sysClr val="windowText" lastClr="000000"/>
            </a:solidFill>
            <a:effectLst/>
            <a:uLnTx/>
            <a:uFillTx/>
            <a:latin typeface="Arial" panose="020B0604020202020204" pitchFamily="7" charset="0"/>
            <a:ea typeface="+mn-ea"/>
            <a:cs typeface="Arial" panose="020B0604020202020204" pitchFamily="7" charset="0"/>
          </a:endParaRPr>
        </a:p>
      </xdr:txBody>
    </xdr:sp>
    <xdr:clientData/>
  </xdr:one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9</xdr:col>
      <xdr:colOff>505866</xdr:colOff>
      <xdr:row>199</xdr:row>
      <xdr:rowOff>166488</xdr:rowOff>
    </xdr:from>
    <xdr:to>
      <xdr:col>15</xdr:col>
      <xdr:colOff>375236</xdr:colOff>
      <xdr:row>202</xdr:row>
      <xdr:rowOff>52509</xdr:rowOff>
    </xdr:to>
    <xdr:sp>
      <xdr:nvSpPr>
        <xdr:cNvPr id="2" name="TextBox 1"/>
        <xdr:cNvSpPr txBox="1"/>
      </xdr:nvSpPr>
      <xdr:spPr>
        <a:xfrm>
          <a:off x="10039985" y="38262560"/>
          <a:ext cx="3698240" cy="45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Need to explain the placement of the Zero</a:t>
          </a:r>
          <a:r>
            <a:rPr lang="en-US" sz="1100" baseline="0"/>
            <a:t> a little bit better. The pole location should also be based on the location of the zero</a:t>
          </a:r>
          <a:endParaRPr lang="en-US" sz="1100"/>
        </a:p>
      </xdr:txBody>
    </xdr:sp>
    <xdr:clientData/>
  </xdr:twoCellAnchor>
  <xdr:twoCellAnchor>
    <xdr:from>
      <xdr:col>8</xdr:col>
      <xdr:colOff>842683</xdr:colOff>
      <xdr:row>174</xdr:row>
      <xdr:rowOff>17930</xdr:rowOff>
    </xdr:from>
    <xdr:to>
      <xdr:col>14</xdr:col>
      <xdr:colOff>475130</xdr:colOff>
      <xdr:row>184</xdr:row>
      <xdr:rowOff>98613</xdr:rowOff>
    </xdr:to>
    <xdr:sp>
      <xdr:nvSpPr>
        <xdr:cNvPr id="4" name="TextBox 3"/>
        <xdr:cNvSpPr txBox="1"/>
      </xdr:nvSpPr>
      <xdr:spPr>
        <a:xfrm>
          <a:off x="9534525" y="33351470"/>
          <a:ext cx="3703955" cy="19856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Loop</a:t>
          </a:r>
          <a:r>
            <a:rPr lang="en-US" sz="1100" baseline="0"/>
            <a:t> compensation is calculated for the minimum input voltage. This ensure stability over the input votlage range</a:t>
          </a:r>
          <a:endParaRPr lang="en-US" sz="1100"/>
        </a:p>
      </xdr:txBody>
    </xdr: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8</xdr:col>
      <xdr:colOff>375238</xdr:colOff>
      <xdr:row>64</xdr:row>
      <xdr:rowOff>185055</xdr:rowOff>
    </xdr:from>
    <xdr:to>
      <xdr:col>16</xdr:col>
      <xdr:colOff>643009</xdr:colOff>
      <xdr:row>84</xdr:row>
      <xdr:rowOff>3117</xdr:rowOff>
    </xdr:to>
    <xdr:graphicFrame>
      <xdr:nvGraphicFramePr>
        <xdr:cNvPr id="2" name="Chart 1"/>
        <xdr:cNvGraphicFramePr/>
      </xdr:nvGraphicFramePr>
      <xdr:xfrm>
        <a:off x="5175250" y="12786360"/>
        <a:ext cx="5092700" cy="362775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14</xdr:col>
      <xdr:colOff>1051560</xdr:colOff>
      <xdr:row>49</xdr:row>
      <xdr:rowOff>45720</xdr:rowOff>
    </xdr:from>
    <xdr:to>
      <xdr:col>25</xdr:col>
      <xdr:colOff>563880</xdr:colOff>
      <xdr:row>73</xdr:row>
      <xdr:rowOff>19050</xdr:rowOff>
    </xdr:to>
    <xdr:graphicFrame>
      <xdr:nvGraphicFramePr>
        <xdr:cNvPr id="4" name="Chart 3"/>
        <xdr:cNvGraphicFramePr/>
      </xdr:nvGraphicFramePr>
      <xdr:xfrm>
        <a:off x="11138535" y="9675495"/>
        <a:ext cx="7122795" cy="455485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45</xdr:col>
      <xdr:colOff>186690</xdr:colOff>
      <xdr:row>39</xdr:row>
      <xdr:rowOff>167640</xdr:rowOff>
    </xdr:from>
    <xdr:to>
      <xdr:col>47</xdr:col>
      <xdr:colOff>515247</xdr:colOff>
      <xdr:row>45</xdr:row>
      <xdr:rowOff>69932</xdr:rowOff>
    </xdr:to>
    <xdr:pic>
      <xdr:nvPicPr>
        <xdr:cNvPr id="7" name="Picture 6"/>
        <xdr:cNvPicPr>
          <a:picLocks noChangeAspect="1"/>
        </xdr:cNvPicPr>
      </xdr:nvPicPr>
      <xdr:blipFill>
        <a:blip r:embed="rId7"/>
        <a:stretch>
          <a:fillRect/>
        </a:stretch>
      </xdr:blipFill>
      <xdr:spPr>
        <a:xfrm>
          <a:off x="30104715" y="7892415"/>
          <a:ext cx="1804670" cy="1045210"/>
        </a:xfrm>
        <a:prstGeom prst="rect">
          <a:avLst/>
        </a:prstGeom>
      </xdr:spPr>
    </xdr:pic>
    <xdr:clientData/>
  </xdr:twoCellAnchor>
  <xdr:twoCellAnchor editAs="oneCell">
    <xdr:from>
      <xdr:col>47</xdr:col>
      <xdr:colOff>247650</xdr:colOff>
      <xdr:row>40</xdr:row>
      <xdr:rowOff>60960</xdr:rowOff>
    </xdr:from>
    <xdr:to>
      <xdr:col>51</xdr:col>
      <xdr:colOff>567929</xdr:colOff>
      <xdr:row>44</xdr:row>
      <xdr:rowOff>129611</xdr:rowOff>
    </xdr:to>
    <xdr:pic>
      <xdr:nvPicPr>
        <xdr:cNvPr id="8" name="Picture 7"/>
        <xdr:cNvPicPr>
          <a:picLocks noChangeAspect="1"/>
        </xdr:cNvPicPr>
      </xdr:nvPicPr>
      <xdr:blipFill>
        <a:blip r:embed="rId8"/>
        <a:stretch>
          <a:fillRect/>
        </a:stretch>
      </xdr:blipFill>
      <xdr:spPr>
        <a:xfrm>
          <a:off x="31642050" y="7976235"/>
          <a:ext cx="2720340" cy="830580"/>
        </a:xfrm>
        <a:prstGeom prst="rect">
          <a:avLst/>
        </a:prstGeom>
      </xdr:spPr>
    </xdr:pic>
    <xdr:clientData/>
  </xdr:twoCellAnchor>
  <xdr:twoCellAnchor>
    <xdr:from>
      <xdr:col>44</xdr:col>
      <xdr:colOff>30480</xdr:colOff>
      <xdr:row>49</xdr:row>
      <xdr:rowOff>64770</xdr:rowOff>
    </xdr:from>
    <xdr:to>
      <xdr:col>55</xdr:col>
      <xdr:colOff>144780</xdr:colOff>
      <xdr:row>73</xdr:row>
      <xdr:rowOff>38100</xdr:rowOff>
    </xdr:to>
    <xdr:graphicFrame>
      <xdr:nvGraphicFramePr>
        <xdr:cNvPr id="9" name="Chart 8"/>
        <xdr:cNvGraphicFramePr/>
      </xdr:nvGraphicFramePr>
      <xdr:xfrm>
        <a:off x="29348430" y="9694545"/>
        <a:ext cx="6981825" cy="455485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7620</xdr:colOff>
      <xdr:row>21</xdr:row>
      <xdr:rowOff>121920</xdr:rowOff>
    </xdr:from>
    <xdr:to>
      <xdr:col>26</xdr:col>
      <xdr:colOff>45720</xdr:colOff>
      <xdr:row>45</xdr:row>
      <xdr:rowOff>80010</xdr:rowOff>
    </xdr:to>
    <xdr:graphicFrame>
      <xdr:nvGraphicFramePr>
        <xdr:cNvPr id="10" name="Chart 9"/>
        <xdr:cNvGraphicFramePr/>
      </xdr:nvGraphicFramePr>
      <xdr:xfrm>
        <a:off x="11199495" y="4408170"/>
        <a:ext cx="7143750" cy="453961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8325</xdr:colOff>
      <xdr:row>32</xdr:row>
      <xdr:rowOff>8964</xdr:rowOff>
    </xdr:from>
    <xdr:to>
      <xdr:col>11</xdr:col>
      <xdr:colOff>591031</xdr:colOff>
      <xdr:row>40</xdr:row>
      <xdr:rowOff>131269</xdr:rowOff>
    </xdr:to>
    <xdr:sp>
      <xdr:nvSpPr>
        <xdr:cNvPr id="11" name="TextBox 10"/>
        <xdr:cNvSpPr txBox="1"/>
      </xdr:nvSpPr>
      <xdr:spPr>
        <a:xfrm>
          <a:off x="6513830" y="6400165"/>
          <a:ext cx="2363470" cy="16459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8</xdr:col>
      <xdr:colOff>0</xdr:colOff>
      <xdr:row>49</xdr:row>
      <xdr:rowOff>13855</xdr:rowOff>
    </xdr:from>
    <xdr:to>
      <xdr:col>12</xdr:col>
      <xdr:colOff>83127</xdr:colOff>
      <xdr:row>60</xdr:row>
      <xdr:rowOff>13855</xdr:rowOff>
    </xdr:to>
    <xdr:sp>
      <xdr:nvSpPr>
        <xdr:cNvPr id="12" name="TextBox 11"/>
        <xdr:cNvSpPr txBox="1"/>
      </xdr:nvSpPr>
      <xdr:spPr>
        <a:xfrm>
          <a:off x="6505575" y="9643110"/>
          <a:ext cx="2463800" cy="2105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error amplifier is the same regardless of the mode of operation</a:t>
          </a:r>
          <a:endParaRPr lang="en-US" sz="1100" baseline="0"/>
        </a:p>
      </xdr:txBody>
    </xdr:sp>
    <xdr:clientData/>
  </xdr:twoCellAnchor>
  <xdr:twoCellAnchor>
    <xdr:from>
      <xdr:col>31</xdr:col>
      <xdr:colOff>313764</xdr:colOff>
      <xdr:row>48</xdr:row>
      <xdr:rowOff>179295</xdr:rowOff>
    </xdr:from>
    <xdr:to>
      <xdr:col>42</xdr:col>
      <xdr:colOff>438673</xdr:colOff>
      <xdr:row>72</xdr:row>
      <xdr:rowOff>152625</xdr:rowOff>
    </xdr:to>
    <xdr:graphicFrame>
      <xdr:nvGraphicFramePr>
        <xdr:cNvPr id="14" name="Chart 13"/>
        <xdr:cNvGraphicFramePr/>
      </xdr:nvGraphicFramePr>
      <xdr:xfrm>
        <a:off x="21602065" y="9618345"/>
        <a:ext cx="6991985" cy="45548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0</xdr:colOff>
      <xdr:row>22</xdr:row>
      <xdr:rowOff>0</xdr:rowOff>
    </xdr:from>
    <xdr:to>
      <xdr:col>42</xdr:col>
      <xdr:colOff>97865</xdr:colOff>
      <xdr:row>45</xdr:row>
      <xdr:rowOff>144855</xdr:rowOff>
    </xdr:to>
    <xdr:graphicFrame>
      <xdr:nvGraphicFramePr>
        <xdr:cNvPr id="15" name="Chart 14"/>
        <xdr:cNvGraphicFramePr/>
      </xdr:nvGraphicFramePr>
      <xdr:xfrm>
        <a:off x="21288375" y="4476750"/>
        <a:ext cx="6965315" cy="453580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44</xdr:col>
      <xdr:colOff>0</xdr:colOff>
      <xdr:row>22</xdr:row>
      <xdr:rowOff>0</xdr:rowOff>
    </xdr:from>
    <xdr:to>
      <xdr:col>55</xdr:col>
      <xdr:colOff>269688</xdr:colOff>
      <xdr:row>45</xdr:row>
      <xdr:rowOff>144855</xdr:rowOff>
    </xdr:to>
    <xdr:graphicFrame>
      <xdr:nvGraphicFramePr>
        <xdr:cNvPr id="16" name="Chart 15"/>
        <xdr:cNvGraphicFramePr/>
      </xdr:nvGraphicFramePr>
      <xdr:xfrm>
        <a:off x="29317950" y="4476750"/>
        <a:ext cx="7136765" cy="453580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2</xdr:col>
      <xdr:colOff>0</xdr:colOff>
      <xdr:row>2</xdr:row>
      <xdr:rowOff>0</xdr:rowOff>
    </xdr:from>
    <xdr:to>
      <xdr:col>3</xdr:col>
      <xdr:colOff>9157</xdr:colOff>
      <xdr:row>3</xdr:row>
      <xdr:rowOff>0</xdr:rowOff>
    </xdr:to>
    <xdr:graphicFrame>
      <xdr:nvGraphicFramePr>
        <xdr:cNvPr id="3" name="Chart 2"/>
        <xdr:cNvGraphicFramePr/>
      </xdr:nvGraphicFramePr>
      <xdr:xfrm>
        <a:off x="1200150" y="381000"/>
        <a:ext cx="9667240" cy="48221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50800</xdr:colOff>
      <xdr:row>1</xdr:row>
      <xdr:rowOff>610854</xdr:rowOff>
    </xdr:from>
    <xdr:to>
      <xdr:col>2</xdr:col>
      <xdr:colOff>3175</xdr:colOff>
      <xdr:row>1</xdr:row>
      <xdr:rowOff>3136990</xdr:rowOff>
    </xdr:to>
    <xdr:pic>
      <xdr:nvPicPr>
        <xdr:cNvPr id="3" name="Picture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50875" y="800735"/>
          <a:ext cx="4705350" cy="252666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ctrlProp" Target="../ctrlProps/ctrlProp1.xm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0000"/>
    <pageSetUpPr fitToPage="1"/>
  </sheetPr>
  <dimension ref="A1:AA102"/>
  <sheetViews>
    <sheetView tabSelected="1" zoomScale="145" zoomScaleNormal="145" topLeftCell="A58" workbookViewId="0">
      <selection activeCell="H68" sqref="H68"/>
    </sheetView>
  </sheetViews>
  <sheetFormatPr defaultColWidth="8.85714285714286" defaultRowHeight="15"/>
  <cols>
    <col min="1" max="6" width="8.85714285714286" style="170" customWidth="1"/>
    <col min="7" max="7" width="8.85714285714286" style="171" customWidth="1"/>
    <col min="8" max="8" width="12" style="170" customWidth="1"/>
    <col min="9" max="9" width="4.14285714285714" style="170" customWidth="1"/>
    <col min="10" max="10" width="4.85714285714286" style="170" customWidth="1"/>
    <col min="11" max="20" width="8.85714285714286" style="170" customWidth="1"/>
    <col min="21" max="21" width="8.85714285714286" style="168" customWidth="1"/>
    <col min="22" max="22" width="7.14285714285714" style="170" customWidth="1"/>
    <col min="23" max="26" width="8.85714285714286" style="170" customWidth="1"/>
    <col min="27" max="27" width="1.85714285714286" style="172" customWidth="1"/>
    <col min="28" max="16384" width="8.85714285714286" style="170"/>
  </cols>
  <sheetData>
    <row r="1" ht="46.7" customHeight="1" spans="1:27">
      <c r="A1" s="173"/>
      <c r="B1" s="173"/>
      <c r="C1" s="173"/>
      <c r="D1" s="173"/>
      <c r="E1" s="174" t="s">
        <v>0</v>
      </c>
      <c r="F1" s="173"/>
      <c r="G1" s="175"/>
      <c r="H1" s="173"/>
      <c r="I1" s="173"/>
      <c r="J1" s="173"/>
      <c r="K1" s="173"/>
      <c r="L1" s="173"/>
      <c r="M1" s="173"/>
      <c r="N1" s="173"/>
      <c r="O1" s="173"/>
      <c r="P1" s="173"/>
      <c r="Q1" s="173"/>
      <c r="R1" s="173"/>
      <c r="S1" s="173"/>
      <c r="T1" s="173"/>
      <c r="U1" s="176"/>
      <c r="V1" s="173"/>
      <c r="W1" s="173"/>
      <c r="X1" s="173"/>
      <c r="Y1" s="173"/>
      <c r="Z1" s="173"/>
      <c r="AA1" s="177"/>
    </row>
    <row r="2" s="168" customFormat="1" spans="1:27">
      <c r="A2" s="178"/>
      <c r="B2" s="178"/>
      <c r="C2" s="178"/>
      <c r="D2" s="178"/>
      <c r="E2" s="178"/>
      <c r="F2" s="178"/>
      <c r="G2" s="179"/>
      <c r="H2" s="178"/>
      <c r="I2" s="178"/>
      <c r="J2" s="178"/>
      <c r="K2" s="178"/>
      <c r="L2" s="178"/>
      <c r="M2" s="178"/>
      <c r="N2" s="178"/>
      <c r="O2" s="178"/>
      <c r="P2" s="178"/>
      <c r="Q2" s="178"/>
      <c r="R2" s="178"/>
      <c r="S2" s="178"/>
      <c r="T2" s="178"/>
      <c r="U2" s="178"/>
      <c r="V2" s="178"/>
      <c r="W2" s="178"/>
      <c r="X2" s="178"/>
      <c r="Y2" s="178"/>
      <c r="Z2" s="178"/>
      <c r="AA2" s="180"/>
    </row>
    <row r="3" s="168" customFormat="1" spans="1:27">
      <c r="A3" s="181" t="s">
        <v>1</v>
      </c>
      <c r="B3" s="178"/>
      <c r="C3" s="178"/>
      <c r="D3" s="178"/>
      <c r="E3" s="182"/>
      <c r="F3" s="271" t="s">
        <v>2</v>
      </c>
      <c r="G3" s="179"/>
      <c r="H3" s="178"/>
      <c r="I3" s="178"/>
      <c r="J3" s="178"/>
      <c r="K3" s="178"/>
      <c r="L3" s="178"/>
      <c r="M3" s="178"/>
      <c r="N3" s="178"/>
      <c r="O3" s="183" t="s">
        <v>3</v>
      </c>
      <c r="P3" s="178"/>
      <c r="Q3" s="178"/>
      <c r="R3" s="178"/>
      <c r="S3" s="178"/>
      <c r="T3" s="178"/>
      <c r="U3" s="178"/>
      <c r="V3" s="178"/>
      <c r="W3" s="178"/>
      <c r="X3" s="178"/>
      <c r="Y3" s="178"/>
      <c r="Z3" s="178"/>
      <c r="AA3" s="180"/>
    </row>
    <row r="4" s="169" customFormat="1" spans="1:27">
      <c r="A4" s="184"/>
      <c r="B4" s="184"/>
      <c r="C4" s="184"/>
      <c r="D4" s="184"/>
      <c r="E4" s="184"/>
      <c r="F4" s="184"/>
      <c r="G4" s="185"/>
      <c r="H4" s="184"/>
      <c r="I4" s="184"/>
      <c r="J4" s="184"/>
      <c r="K4" s="184"/>
      <c r="L4" s="184"/>
      <c r="M4" s="184"/>
      <c r="N4" s="184"/>
      <c r="O4" s="184"/>
      <c r="P4" s="184"/>
      <c r="Q4" s="184"/>
      <c r="R4" s="184"/>
      <c r="S4" s="184"/>
      <c r="T4" s="184"/>
      <c r="U4" s="184"/>
      <c r="V4" s="184"/>
      <c r="W4" s="184"/>
      <c r="X4" s="184"/>
      <c r="Y4" s="184"/>
      <c r="Z4" s="184"/>
      <c r="AA4" s="186"/>
    </row>
    <row r="5" spans="1:27">
      <c r="A5" s="187"/>
      <c r="B5" s="187"/>
      <c r="C5" s="187"/>
      <c r="D5" s="187"/>
      <c r="E5" s="187"/>
      <c r="F5" s="187"/>
      <c r="G5" s="188"/>
      <c r="H5" s="187"/>
      <c r="I5" s="187"/>
      <c r="J5" s="187"/>
      <c r="K5" s="187"/>
      <c r="L5" s="187"/>
      <c r="M5" s="187"/>
      <c r="N5" s="187"/>
      <c r="O5" s="187" t="str">
        <f>CONCATENATE("Rev ",Licenses!$B$5)</f>
        <v>Rev 1.0.0</v>
      </c>
      <c r="P5" s="189" t="s">
        <v>4</v>
      </c>
      <c r="Q5" s="187"/>
      <c r="R5" s="187"/>
      <c r="S5" s="187"/>
      <c r="T5" s="187"/>
      <c r="U5" s="190"/>
      <c r="V5" s="187"/>
      <c r="W5" s="187"/>
      <c r="X5" s="187"/>
      <c r="Y5" s="187"/>
      <c r="Z5" s="187"/>
      <c r="AA5" s="177"/>
    </row>
    <row r="6" ht="15.75" spans="1:27">
      <c r="A6" s="191" t="s">
        <v>5</v>
      </c>
      <c r="B6" s="187"/>
      <c r="C6" s="187"/>
      <c r="D6" s="187"/>
      <c r="E6" s="187"/>
      <c r="F6" s="187"/>
      <c r="G6" s="188"/>
      <c r="H6" s="187"/>
      <c r="I6" s="187"/>
      <c r="J6" s="187"/>
      <c r="K6" s="187"/>
      <c r="L6" s="187"/>
      <c r="M6" s="187"/>
      <c r="N6" s="187"/>
      <c r="O6" s="187"/>
      <c r="P6" s="187"/>
      <c r="Q6" s="187"/>
      <c r="R6" s="187"/>
      <c r="S6" s="187"/>
      <c r="T6" s="187"/>
      <c r="U6" s="190"/>
      <c r="V6" s="187"/>
      <c r="W6" s="187"/>
      <c r="X6" s="187"/>
      <c r="Y6" s="187"/>
      <c r="Z6" s="187"/>
      <c r="AA6" s="177"/>
    </row>
    <row r="7" ht="16.5" spans="1:27">
      <c r="A7" s="192"/>
      <c r="B7" s="193"/>
      <c r="C7" s="193"/>
      <c r="D7" s="193"/>
      <c r="E7" s="193"/>
      <c r="F7" s="193"/>
      <c r="G7" s="194" t="s">
        <v>6</v>
      </c>
      <c r="H7" s="195">
        <v>3</v>
      </c>
      <c r="I7" s="196" t="s">
        <v>7</v>
      </c>
      <c r="J7" s="187"/>
      <c r="K7" s="187"/>
      <c r="L7" s="187"/>
      <c r="M7" s="187"/>
      <c r="N7" s="187"/>
      <c r="O7" s="187"/>
      <c r="P7" s="187"/>
      <c r="Q7" s="187"/>
      <c r="R7" s="187"/>
      <c r="S7" s="187"/>
      <c r="T7" s="187"/>
      <c r="U7" s="190"/>
      <c r="V7" s="187"/>
      <c r="W7" s="187"/>
      <c r="X7" s="187"/>
      <c r="Y7" s="187"/>
      <c r="Z7" s="187"/>
      <c r="AA7" s="177"/>
    </row>
    <row r="8" ht="16.5" spans="1:27">
      <c r="A8" s="197"/>
      <c r="B8" s="190"/>
      <c r="C8" s="190"/>
      <c r="D8" s="190"/>
      <c r="E8" s="190"/>
      <c r="F8" s="190"/>
      <c r="G8" s="198" t="s">
        <v>8</v>
      </c>
      <c r="H8" s="199">
        <v>3.7</v>
      </c>
      <c r="I8" s="200" t="s">
        <v>7</v>
      </c>
      <c r="J8" s="187"/>
      <c r="K8" s="187"/>
      <c r="L8" s="187"/>
      <c r="M8" s="187"/>
      <c r="N8" s="187"/>
      <c r="O8" s="187"/>
      <c r="P8" s="187"/>
      <c r="Q8" s="187"/>
      <c r="R8" s="187"/>
      <c r="S8" s="187"/>
      <c r="T8" s="187"/>
      <c r="U8" s="190"/>
      <c r="V8" s="187"/>
      <c r="W8" s="187"/>
      <c r="X8" s="187"/>
      <c r="Y8" s="187"/>
      <c r="Z8" s="187"/>
      <c r="AA8" s="177"/>
    </row>
    <row r="9" ht="16.5" spans="1:27">
      <c r="A9" s="197"/>
      <c r="B9" s="190"/>
      <c r="C9" s="190"/>
      <c r="D9" s="190"/>
      <c r="E9" s="190"/>
      <c r="F9" s="190"/>
      <c r="G9" s="198" t="s">
        <v>9</v>
      </c>
      <c r="H9" s="199">
        <f>4.2*3</f>
        <v>12.6</v>
      </c>
      <c r="I9" s="200" t="s">
        <v>7</v>
      </c>
      <c r="J9" s="187"/>
      <c r="K9" s="187"/>
      <c r="L9" s="187"/>
      <c r="M9" s="187"/>
      <c r="N9" s="187"/>
      <c r="O9" s="187"/>
      <c r="P9" s="187"/>
      <c r="Q9" s="187"/>
      <c r="R9" s="187"/>
      <c r="S9" s="187"/>
      <c r="T9" s="187"/>
      <c r="U9" s="190"/>
      <c r="V9" s="187"/>
      <c r="W9" s="187"/>
      <c r="X9" s="187"/>
      <c r="Y9" s="187"/>
      <c r="Z9" s="187"/>
      <c r="AA9" s="177"/>
    </row>
    <row r="10" ht="16.5" spans="1:27">
      <c r="A10" s="197"/>
      <c r="B10" s="190"/>
      <c r="C10" s="190"/>
      <c r="D10" s="190"/>
      <c r="E10" s="190"/>
      <c r="F10" s="190"/>
      <c r="G10" s="198" t="s">
        <v>10</v>
      </c>
      <c r="H10" s="199">
        <v>20</v>
      </c>
      <c r="I10" s="200" t="s">
        <v>7</v>
      </c>
      <c r="J10" s="187"/>
      <c r="K10" s="187"/>
      <c r="L10" s="187"/>
      <c r="M10" s="187"/>
      <c r="N10" s="187"/>
      <c r="O10" s="187"/>
      <c r="P10" s="187"/>
      <c r="Q10" s="187"/>
      <c r="R10" s="187"/>
      <c r="S10" s="187"/>
      <c r="T10" s="187"/>
      <c r="U10" s="190"/>
      <c r="V10" s="187"/>
      <c r="W10" s="187"/>
      <c r="X10" s="187"/>
      <c r="Y10" s="187"/>
      <c r="Z10" s="187"/>
      <c r="AA10" s="177"/>
    </row>
    <row r="11" ht="16.5" spans="1:27">
      <c r="A11" s="197"/>
      <c r="B11" s="190"/>
      <c r="C11" s="190"/>
      <c r="D11" s="190"/>
      <c r="E11" s="190"/>
      <c r="F11" s="190"/>
      <c r="G11" s="198" t="s">
        <v>11</v>
      </c>
      <c r="H11" s="199">
        <v>1</v>
      </c>
      <c r="I11" s="200" t="s">
        <v>12</v>
      </c>
      <c r="J11" s="187"/>
      <c r="K11" s="187"/>
      <c r="L11" s="187"/>
      <c r="M11" s="187"/>
      <c r="N11" s="187"/>
      <c r="O11" s="187"/>
      <c r="P11" s="187"/>
      <c r="Q11" s="187"/>
      <c r="R11" s="187"/>
      <c r="S11" s="187"/>
      <c r="T11" s="187"/>
      <c r="U11" s="190"/>
      <c r="V11" s="187"/>
      <c r="W11" s="187"/>
      <c r="X11" s="187"/>
      <c r="Y11" s="187"/>
      <c r="Z11" s="187"/>
      <c r="AA11" s="177"/>
    </row>
    <row r="12" ht="16.5" spans="1:27">
      <c r="A12" s="197"/>
      <c r="B12" s="190"/>
      <c r="C12" s="190"/>
      <c r="D12" s="190"/>
      <c r="E12" s="190"/>
      <c r="F12" s="190"/>
      <c r="G12" s="198" t="s">
        <v>13</v>
      </c>
      <c r="H12" s="199">
        <v>700</v>
      </c>
      <c r="I12" s="200" t="s">
        <v>14</v>
      </c>
      <c r="J12" s="187"/>
      <c r="K12" s="187"/>
      <c r="L12" s="187"/>
      <c r="M12" s="187"/>
      <c r="N12" s="187"/>
      <c r="O12" s="187"/>
      <c r="P12" s="187"/>
      <c r="Q12" s="187"/>
      <c r="R12" s="187"/>
      <c r="S12" s="187"/>
      <c r="T12" s="187"/>
      <c r="U12" s="190"/>
      <c r="V12" s="187"/>
      <c r="W12" s="187"/>
      <c r="X12" s="187"/>
      <c r="Y12" s="187"/>
      <c r="Z12" s="187"/>
      <c r="AA12" s="177"/>
    </row>
    <row r="13" ht="16.5" spans="1:27">
      <c r="A13" s="197"/>
      <c r="B13" s="190"/>
      <c r="C13" s="190"/>
      <c r="D13" s="190"/>
      <c r="E13" s="190"/>
      <c r="F13" s="190"/>
      <c r="G13" s="198" t="s">
        <v>15</v>
      </c>
      <c r="H13" s="201">
        <f>RT/1000</f>
        <v>19.4392012767176</v>
      </c>
      <c r="I13" s="200" t="s">
        <v>16</v>
      </c>
      <c r="J13" s="187"/>
      <c r="K13" s="187"/>
      <c r="L13" s="187"/>
      <c r="M13" s="187"/>
      <c r="N13" s="187"/>
      <c r="O13" s="187"/>
      <c r="P13" s="187"/>
      <c r="Q13" s="187"/>
      <c r="R13" s="187"/>
      <c r="S13" s="187"/>
      <c r="T13" s="187"/>
      <c r="U13" s="190"/>
      <c r="V13" s="187"/>
      <c r="W13" s="187"/>
      <c r="X13" s="187"/>
      <c r="Y13" s="187"/>
      <c r="Z13" s="187"/>
      <c r="AA13" s="177"/>
    </row>
    <row r="14" ht="16.5" spans="1:27">
      <c r="A14" s="197"/>
      <c r="B14" s="190"/>
      <c r="C14" s="190"/>
      <c r="D14" s="190"/>
      <c r="E14" s="190"/>
      <c r="F14" s="190"/>
      <c r="G14" s="198" t="s">
        <v>17</v>
      </c>
      <c r="H14" s="202">
        <f>POUT</f>
        <v>20</v>
      </c>
      <c r="I14" s="200" t="s">
        <v>18</v>
      </c>
      <c r="J14" s="187"/>
      <c r="K14" s="187"/>
      <c r="L14" s="187"/>
      <c r="M14" s="187"/>
      <c r="N14" s="187"/>
      <c r="O14" s="187"/>
      <c r="P14" s="187"/>
      <c r="Q14" s="187"/>
      <c r="R14" s="187"/>
      <c r="S14" s="187"/>
      <c r="T14" s="187"/>
      <c r="U14" s="190"/>
      <c r="V14" s="187"/>
      <c r="W14" s="187"/>
      <c r="X14" s="187"/>
      <c r="Y14" s="187"/>
      <c r="Z14" s="187"/>
      <c r="AA14" s="177"/>
    </row>
    <row r="15" ht="16.5" spans="1:27">
      <c r="A15" s="203"/>
      <c r="B15" s="204"/>
      <c r="C15" s="204"/>
      <c r="D15" s="204"/>
      <c r="E15" s="204"/>
      <c r="F15" s="190"/>
      <c r="G15" s="205" t="s">
        <v>19</v>
      </c>
      <c r="H15" s="206">
        <f>Dc_max_IC*100</f>
        <v>97</v>
      </c>
      <c r="I15" s="200" t="s">
        <v>20</v>
      </c>
      <c r="J15" s="187"/>
      <c r="K15" s="187"/>
      <c r="L15" s="187"/>
      <c r="M15" s="187"/>
      <c r="N15" s="187"/>
      <c r="O15" s="187"/>
      <c r="P15" s="187"/>
      <c r="Q15" s="187"/>
      <c r="R15" s="187"/>
      <c r="S15" s="187"/>
      <c r="T15" s="187"/>
      <c r="U15" s="190"/>
      <c r="V15" s="187"/>
      <c r="W15" s="187"/>
      <c r="X15" s="187"/>
      <c r="Y15" s="187"/>
      <c r="Z15" s="187"/>
      <c r="AA15" s="177"/>
    </row>
    <row r="16" ht="17.25" spans="1:27">
      <c r="A16" s="207"/>
      <c r="B16" s="208"/>
      <c r="C16" s="208"/>
      <c r="D16" s="208"/>
      <c r="E16" s="208"/>
      <c r="F16" s="209"/>
      <c r="G16" s="210" t="s">
        <v>21</v>
      </c>
      <c r="H16" s="211">
        <f>Variable_Management!B19*100</f>
        <v>86.9565217391304</v>
      </c>
      <c r="I16" s="212" t="s">
        <v>20</v>
      </c>
      <c r="J16" s="187"/>
      <c r="K16" s="187"/>
      <c r="L16" s="187"/>
      <c r="M16" s="187"/>
      <c r="N16" s="187"/>
      <c r="O16" s="187"/>
      <c r="P16" s="187"/>
      <c r="Q16" s="187"/>
      <c r="R16" s="187"/>
      <c r="S16" s="187"/>
      <c r="T16" s="187"/>
      <c r="U16" s="190"/>
      <c r="V16" s="187"/>
      <c r="W16" s="187"/>
      <c r="X16" s="187"/>
      <c r="Y16" s="187"/>
      <c r="Z16" s="187"/>
      <c r="AA16" s="177"/>
    </row>
    <row r="17" spans="1:27">
      <c r="A17" s="204"/>
      <c r="B17" s="213"/>
      <c r="C17" s="213"/>
      <c r="D17" s="213"/>
      <c r="E17" s="204"/>
      <c r="F17" s="187"/>
      <c r="G17" s="188"/>
      <c r="H17" s="187"/>
      <c r="I17" s="187"/>
      <c r="J17" s="187"/>
      <c r="K17" s="187"/>
      <c r="L17" s="187"/>
      <c r="M17" s="187"/>
      <c r="N17" s="187"/>
      <c r="O17" s="187"/>
      <c r="P17" s="187"/>
      <c r="Q17" s="187"/>
      <c r="R17" s="187"/>
      <c r="S17" s="187"/>
      <c r="T17" s="187"/>
      <c r="U17" s="190"/>
      <c r="V17" s="187"/>
      <c r="W17" s="187"/>
      <c r="X17" s="187"/>
      <c r="Y17" s="187"/>
      <c r="Z17" s="187"/>
      <c r="AA17" s="177"/>
    </row>
    <row r="18" ht="15.75" spans="1:27">
      <c r="A18" s="214" t="s">
        <v>22</v>
      </c>
      <c r="B18" s="213"/>
      <c r="C18" s="213"/>
      <c r="D18" s="213"/>
      <c r="E18" s="204"/>
      <c r="F18" s="187"/>
      <c r="G18" s="188"/>
      <c r="H18" s="187"/>
      <c r="I18" s="187"/>
      <c r="J18" s="187"/>
      <c r="K18" s="187"/>
      <c r="L18" s="187"/>
      <c r="M18" s="187"/>
      <c r="N18" s="187"/>
      <c r="O18" s="187"/>
      <c r="P18" s="187"/>
      <c r="Q18" s="187"/>
      <c r="R18" s="187"/>
      <c r="S18" s="187"/>
      <c r="T18" s="187"/>
      <c r="U18" s="190"/>
      <c r="V18" s="187"/>
      <c r="W18" s="187"/>
      <c r="X18" s="187"/>
      <c r="Y18" s="187"/>
      <c r="Z18" s="187"/>
      <c r="AA18" s="177"/>
    </row>
    <row r="19" spans="1:27">
      <c r="A19" s="215"/>
      <c r="B19" s="216"/>
      <c r="C19" s="216"/>
      <c r="D19" s="216"/>
      <c r="E19" s="216"/>
      <c r="F19" s="193"/>
      <c r="G19" s="217" t="s">
        <v>23</v>
      </c>
      <c r="H19" s="218" t="str">
        <f>IF(Variable_Management!B21=0,"CCM","DCM")</f>
        <v>CCM</v>
      </c>
      <c r="I19" s="196"/>
      <c r="J19" s="187"/>
      <c r="K19" s="187"/>
      <c r="L19" s="187"/>
      <c r="M19" s="187"/>
      <c r="N19" s="187"/>
      <c r="O19" s="187"/>
      <c r="P19" s="187"/>
      <c r="Q19" s="187"/>
      <c r="R19" s="187"/>
      <c r="S19" s="187"/>
      <c r="T19" s="187"/>
      <c r="U19" s="190"/>
      <c r="V19" s="187"/>
      <c r="W19" s="187"/>
      <c r="X19" s="187"/>
      <c r="Y19" s="187"/>
      <c r="Z19" s="187"/>
      <c r="AA19" s="177"/>
    </row>
    <row r="20" ht="16.5" spans="1:27">
      <c r="A20" s="203"/>
      <c r="B20" s="204"/>
      <c r="C20" s="204"/>
      <c r="D20" s="204"/>
      <c r="E20" s="204"/>
      <c r="F20" s="190"/>
      <c r="G20" s="198" t="s">
        <v>24</v>
      </c>
      <c r="H20" s="199">
        <v>60</v>
      </c>
      <c r="I20" s="200" t="s">
        <v>20</v>
      </c>
      <c r="J20" s="187"/>
      <c r="K20" s="187"/>
      <c r="L20" s="187"/>
      <c r="M20" s="187"/>
      <c r="N20" s="187"/>
      <c r="O20" s="187"/>
      <c r="P20" s="187"/>
      <c r="Q20" s="187"/>
      <c r="R20" s="187"/>
      <c r="S20" s="187"/>
      <c r="T20" s="187"/>
      <c r="U20" s="190"/>
      <c r="V20" s="187"/>
      <c r="W20" s="187"/>
      <c r="X20" s="187"/>
      <c r="Y20" s="187"/>
      <c r="Z20" s="187"/>
      <c r="AA20" s="177"/>
    </row>
    <row r="21" ht="16.5" spans="1:27">
      <c r="A21" s="197"/>
      <c r="B21" s="190"/>
      <c r="C21" s="190"/>
      <c r="D21" s="190"/>
      <c r="E21" s="190"/>
      <c r="F21" s="190"/>
      <c r="G21" s="198" t="s">
        <v>25</v>
      </c>
      <c r="H21" s="219">
        <f>Variable_Management!B38*10^6</f>
        <v>0.68766325095439</v>
      </c>
      <c r="I21" s="200" t="s">
        <v>26</v>
      </c>
      <c r="J21" s="187"/>
      <c r="K21" s="187"/>
      <c r="L21" s="187"/>
      <c r="M21" s="187"/>
      <c r="N21" s="187"/>
      <c r="O21" s="187"/>
      <c r="P21" s="187"/>
      <c r="Q21" s="187"/>
      <c r="R21" s="187"/>
      <c r="S21" s="187"/>
      <c r="T21" s="187"/>
      <c r="U21" s="190"/>
      <c r="V21" s="187"/>
      <c r="W21" s="187"/>
      <c r="X21" s="187"/>
      <c r="Y21" s="187"/>
      <c r="Z21" s="187"/>
      <c r="AA21" s="177"/>
    </row>
    <row r="22" ht="16.5" spans="1:27">
      <c r="A22" s="197"/>
      <c r="B22" s="190"/>
      <c r="C22" s="190"/>
      <c r="D22" s="190"/>
      <c r="E22" s="190"/>
      <c r="F22" s="190"/>
      <c r="G22" s="198" t="s">
        <v>27</v>
      </c>
      <c r="H22" s="199">
        <v>10</v>
      </c>
      <c r="I22" s="200" t="s">
        <v>26</v>
      </c>
      <c r="J22" s="187"/>
      <c r="K22" s="187"/>
      <c r="L22" s="187"/>
      <c r="M22" s="187"/>
      <c r="N22" s="187"/>
      <c r="O22" s="187"/>
      <c r="P22" s="187"/>
      <c r="Q22" s="187"/>
      <c r="R22" s="187"/>
      <c r="S22" s="187"/>
      <c r="T22" s="187"/>
      <c r="U22" s="190"/>
      <c r="V22" s="187"/>
      <c r="W22" s="187"/>
      <c r="X22" s="187"/>
      <c r="Y22" s="187"/>
      <c r="Z22" s="187"/>
      <c r="AA22" s="177"/>
    </row>
    <row r="23" ht="17.25" spans="1:27">
      <c r="A23" s="220"/>
      <c r="B23" s="209"/>
      <c r="C23" s="209"/>
      <c r="D23" s="209"/>
      <c r="E23" s="209"/>
      <c r="F23" s="209"/>
      <c r="G23" s="221" t="s">
        <v>28</v>
      </c>
      <c r="H23" s="222">
        <f>ISW_peak_VIN_min</f>
        <v>8.03933747412008</v>
      </c>
      <c r="I23" s="212" t="s">
        <v>12</v>
      </c>
      <c r="J23" s="187"/>
      <c r="K23" s="187"/>
      <c r="L23" s="187"/>
      <c r="M23" s="187"/>
      <c r="N23" s="187"/>
      <c r="O23" s="187"/>
      <c r="P23" s="187"/>
      <c r="Q23" s="187"/>
      <c r="R23" s="187"/>
      <c r="S23" s="187"/>
      <c r="T23" s="187"/>
      <c r="U23" s="190"/>
      <c r="V23" s="187"/>
      <c r="W23" s="187"/>
      <c r="X23" s="187"/>
      <c r="Y23" s="187"/>
      <c r="Z23" s="187"/>
      <c r="AA23" s="177"/>
    </row>
    <row r="24" spans="1:27">
      <c r="A24" s="187"/>
      <c r="B24" s="187"/>
      <c r="C24" s="187"/>
      <c r="D24" s="187"/>
      <c r="E24" s="187"/>
      <c r="F24" s="187"/>
      <c r="G24" s="188"/>
      <c r="H24" s="187"/>
      <c r="I24" s="187"/>
      <c r="J24" s="187"/>
      <c r="K24" s="187"/>
      <c r="L24" s="187"/>
      <c r="M24" s="187"/>
      <c r="N24" s="187"/>
      <c r="O24" s="187"/>
      <c r="P24" s="187"/>
      <c r="Q24" s="187"/>
      <c r="R24" s="187"/>
      <c r="S24" s="187"/>
      <c r="T24" s="187"/>
      <c r="U24" s="190"/>
      <c r="V24" s="187"/>
      <c r="W24" s="187"/>
      <c r="X24" s="187"/>
      <c r="Y24" s="187"/>
      <c r="Z24" s="187"/>
      <c r="AA24" s="177"/>
    </row>
    <row r="25" ht="15.75" spans="1:27">
      <c r="A25" s="214" t="s">
        <v>29</v>
      </c>
      <c r="B25" s="187"/>
      <c r="C25" s="187"/>
      <c r="D25" s="187"/>
      <c r="E25" s="187"/>
      <c r="F25" s="187"/>
      <c r="G25" s="188"/>
      <c r="H25" s="187"/>
      <c r="I25" s="187"/>
      <c r="J25" s="187"/>
      <c r="K25" s="187"/>
      <c r="L25" s="187"/>
      <c r="M25" s="187"/>
      <c r="N25" s="187"/>
      <c r="O25" s="187"/>
      <c r="P25" s="187"/>
      <c r="Q25" s="187"/>
      <c r="R25" s="187"/>
      <c r="S25" s="187"/>
      <c r="T25" s="187"/>
      <c r="U25" s="190"/>
      <c r="V25" s="187"/>
      <c r="W25" s="187"/>
      <c r="X25" s="187"/>
      <c r="Y25" s="187"/>
      <c r="Z25" s="187"/>
      <c r="AA25" s="177"/>
    </row>
    <row r="26" spans="1:27">
      <c r="A26" s="192"/>
      <c r="B26" s="193"/>
      <c r="C26" s="193"/>
      <c r="D26" s="193"/>
      <c r="E26" s="193"/>
      <c r="F26" s="193"/>
      <c r="G26" s="194" t="s">
        <v>30</v>
      </c>
      <c r="H26" s="195">
        <v>30</v>
      </c>
      <c r="I26" s="196" t="s">
        <v>20</v>
      </c>
      <c r="J26" s="187"/>
      <c r="K26" s="187"/>
      <c r="L26" s="187"/>
      <c r="M26" s="187"/>
      <c r="N26" s="187"/>
      <c r="O26" s="187"/>
      <c r="P26" s="187"/>
      <c r="Q26" s="187"/>
      <c r="R26" s="187"/>
      <c r="S26" s="187"/>
      <c r="T26" s="187"/>
      <c r="U26" s="190"/>
      <c r="V26" s="187"/>
      <c r="W26" s="187"/>
      <c r="X26" s="187"/>
      <c r="Y26" s="187"/>
      <c r="Z26" s="187"/>
      <c r="AA26" s="177"/>
    </row>
    <row r="27" ht="18.75" spans="1:27">
      <c r="A27" s="197"/>
      <c r="B27" s="190"/>
      <c r="C27" s="190"/>
      <c r="D27" s="190"/>
      <c r="E27" s="190"/>
      <c r="F27" s="190"/>
      <c r="G27" s="223" t="s">
        <v>31</v>
      </c>
      <c r="H27" s="201">
        <f>Ipk_selected</f>
        <v>10.4511387163561</v>
      </c>
      <c r="I27" s="200" t="s">
        <v>12</v>
      </c>
      <c r="J27" s="187"/>
      <c r="K27" s="187"/>
      <c r="L27" s="187"/>
      <c r="M27" s="187"/>
      <c r="N27" s="187"/>
      <c r="O27" s="187"/>
      <c r="P27" s="187"/>
      <c r="Q27" s="187"/>
      <c r="R27" s="187"/>
      <c r="S27" s="187"/>
      <c r="T27" s="187"/>
      <c r="U27" s="190"/>
      <c r="V27" s="187"/>
      <c r="W27" s="187"/>
      <c r="X27" s="187"/>
      <c r="Y27" s="187"/>
      <c r="Z27" s="187"/>
      <c r="AA27" s="177"/>
    </row>
    <row r="28" ht="18.75" spans="1:27">
      <c r="A28" s="197"/>
      <c r="B28" s="190"/>
      <c r="C28" s="190"/>
      <c r="D28" s="190"/>
      <c r="E28" s="190"/>
      <c r="F28" s="190"/>
      <c r="G28" s="223" t="s">
        <v>32</v>
      </c>
      <c r="H28" s="201">
        <f>Variable_Management!B115*1000</f>
        <v>14.9266031419006</v>
      </c>
      <c r="I28" s="200" t="s">
        <v>33</v>
      </c>
      <c r="J28" s="187"/>
      <c r="K28" s="187"/>
      <c r="L28" s="187"/>
      <c r="M28" s="187"/>
      <c r="N28" s="187"/>
      <c r="O28" s="187"/>
      <c r="P28" s="187"/>
      <c r="Q28" s="187"/>
      <c r="R28" s="187"/>
      <c r="S28" s="187"/>
      <c r="T28" s="187"/>
      <c r="U28" s="190"/>
      <c r="V28" s="187"/>
      <c r="W28" s="187"/>
      <c r="X28" s="187"/>
      <c r="Y28" s="187"/>
      <c r="Z28" s="187"/>
      <c r="AA28" s="177"/>
    </row>
    <row r="29" ht="18.75" spans="1:27">
      <c r="A29" s="197"/>
      <c r="B29" s="190"/>
      <c r="C29" s="190"/>
      <c r="D29" s="190"/>
      <c r="E29" s="190"/>
      <c r="F29" s="190"/>
      <c r="G29" s="223" t="s">
        <v>34</v>
      </c>
      <c r="H29" s="224">
        <f>Variable_Management!B116</f>
        <v>0</v>
      </c>
      <c r="I29" s="225" t="s">
        <v>35</v>
      </c>
      <c r="J29" s="187"/>
      <c r="K29" s="187"/>
      <c r="L29" s="187"/>
      <c r="M29" s="187"/>
      <c r="N29" s="187"/>
      <c r="O29" s="187"/>
      <c r="P29" s="187"/>
      <c r="Q29" s="187"/>
      <c r="R29" s="187"/>
      <c r="S29" s="187"/>
      <c r="T29" s="187"/>
      <c r="U29" s="190"/>
      <c r="V29" s="187"/>
      <c r="W29" s="187"/>
      <c r="X29" s="187"/>
      <c r="Y29" s="187"/>
      <c r="Z29" s="187"/>
      <c r="AA29" s="177"/>
    </row>
    <row r="30" ht="18.75" spans="1:27">
      <c r="A30" s="197"/>
      <c r="B30" s="190"/>
      <c r="C30" s="190"/>
      <c r="D30" s="190"/>
      <c r="E30" s="190"/>
      <c r="F30" s="190"/>
      <c r="G30" s="223" t="s">
        <v>36</v>
      </c>
      <c r="H30" s="199">
        <v>10</v>
      </c>
      <c r="I30" s="200" t="s">
        <v>33</v>
      </c>
      <c r="J30" s="187"/>
      <c r="K30" s="187"/>
      <c r="L30" s="187"/>
      <c r="M30" s="187"/>
      <c r="N30" s="187"/>
      <c r="O30" s="187"/>
      <c r="P30" s="187"/>
      <c r="Q30" s="187"/>
      <c r="R30" s="187"/>
      <c r="S30" s="187"/>
      <c r="T30" s="187"/>
      <c r="U30" s="190"/>
      <c r="V30" s="187"/>
      <c r="W30" s="187"/>
      <c r="X30" s="187"/>
      <c r="Y30" s="187"/>
      <c r="Z30" s="187"/>
      <c r="AA30" s="177"/>
    </row>
    <row r="31" ht="18.75" spans="1:27">
      <c r="A31" s="197"/>
      <c r="B31" s="190"/>
      <c r="C31" s="190"/>
      <c r="D31" s="190"/>
      <c r="E31" s="190"/>
      <c r="F31" s="190"/>
      <c r="G31" s="223" t="s">
        <v>37</v>
      </c>
      <c r="H31" s="199">
        <v>0</v>
      </c>
      <c r="I31" s="225" t="s">
        <v>35</v>
      </c>
      <c r="J31" s="187"/>
      <c r="K31" s="187"/>
      <c r="L31" s="187"/>
      <c r="M31" s="187"/>
      <c r="N31" s="187"/>
      <c r="O31" s="187"/>
      <c r="P31" s="187"/>
      <c r="Q31" s="187"/>
      <c r="R31" s="187"/>
      <c r="S31" s="187"/>
      <c r="T31" s="187"/>
      <c r="U31" s="190"/>
      <c r="V31" s="187"/>
      <c r="W31" s="187"/>
      <c r="X31" s="187"/>
      <c r="Y31" s="187"/>
      <c r="Z31" s="187"/>
      <c r="AA31" s="177"/>
    </row>
    <row r="32" ht="15.75" spans="1:27">
      <c r="A32" s="220"/>
      <c r="B32" s="209"/>
      <c r="C32" s="209"/>
      <c r="D32" s="209"/>
      <c r="E32" s="209"/>
      <c r="F32" s="209"/>
      <c r="G32" s="226" t="s">
        <v>38</v>
      </c>
      <c r="H32" s="227">
        <f>IL_pk_max</f>
        <v>15.6</v>
      </c>
      <c r="I32" s="228" t="s">
        <v>12</v>
      </c>
      <c r="J32" s="187"/>
      <c r="K32" s="187"/>
      <c r="L32" s="187"/>
      <c r="M32" s="187"/>
      <c r="N32" s="187"/>
      <c r="O32" s="187"/>
      <c r="P32" s="187"/>
      <c r="Q32" s="187"/>
      <c r="R32" s="187"/>
      <c r="S32" s="187"/>
      <c r="T32" s="187"/>
      <c r="U32" s="190"/>
      <c r="V32" s="187"/>
      <c r="W32" s="187"/>
      <c r="X32" s="187"/>
      <c r="Y32" s="187"/>
      <c r="Z32" s="187"/>
      <c r="AA32" s="177"/>
    </row>
    <row r="33" spans="1:27">
      <c r="A33" s="187"/>
      <c r="B33" s="187"/>
      <c r="C33" s="187"/>
      <c r="D33" s="187"/>
      <c r="E33" s="187"/>
      <c r="F33" s="187"/>
      <c r="G33" s="188"/>
      <c r="H33" s="187"/>
      <c r="I33" s="187"/>
      <c r="J33" s="187"/>
      <c r="K33" s="187"/>
      <c r="L33" s="187"/>
      <c r="M33" s="187"/>
      <c r="N33" s="187"/>
      <c r="O33" s="187"/>
      <c r="P33" s="187"/>
      <c r="Q33" s="187"/>
      <c r="R33" s="187"/>
      <c r="S33" s="187"/>
      <c r="T33" s="187"/>
      <c r="U33" s="190"/>
      <c r="V33" s="187"/>
      <c r="W33" s="187"/>
      <c r="X33" s="187"/>
      <c r="Y33" s="187"/>
      <c r="Z33" s="187"/>
      <c r="AA33" s="177"/>
    </row>
    <row r="34" ht="19.5" spans="1:27">
      <c r="A34" s="214" t="s">
        <v>39</v>
      </c>
      <c r="B34" s="187"/>
      <c r="C34" s="187"/>
      <c r="D34" s="187"/>
      <c r="E34" s="187"/>
      <c r="F34" s="187"/>
      <c r="G34" s="188"/>
      <c r="H34" s="187"/>
      <c r="I34" s="187"/>
      <c r="J34" s="187"/>
      <c r="K34" s="187"/>
      <c r="L34" s="187"/>
      <c r="M34" s="187"/>
      <c r="N34" s="187"/>
      <c r="O34" s="187"/>
      <c r="P34" s="187"/>
      <c r="Q34" s="187"/>
      <c r="R34" s="187"/>
      <c r="S34" s="187"/>
      <c r="T34" s="187"/>
      <c r="U34" s="190"/>
      <c r="V34" s="187"/>
      <c r="W34" s="187"/>
      <c r="X34" s="187"/>
      <c r="Y34" s="187"/>
      <c r="Z34" s="187"/>
      <c r="AA34" s="177"/>
    </row>
    <row r="35" ht="18.75" spans="1:27">
      <c r="A35" s="192"/>
      <c r="B35" s="193"/>
      <c r="C35" s="193"/>
      <c r="D35" s="193"/>
      <c r="E35" s="193"/>
      <c r="F35" s="193"/>
      <c r="G35" s="229" t="s">
        <v>40</v>
      </c>
      <c r="H35" s="230">
        <f>Cac_min*(10^6)</f>
        <v>1.97180321403924</v>
      </c>
      <c r="I35" s="196" t="s">
        <v>41</v>
      </c>
      <c r="J35" s="187"/>
      <c r="K35" s="187"/>
      <c r="L35" s="187"/>
      <c r="M35" s="187"/>
      <c r="N35" s="187"/>
      <c r="O35" s="187"/>
      <c r="P35" s="187"/>
      <c r="Q35" s="187"/>
      <c r="R35" s="187"/>
      <c r="S35" s="187"/>
      <c r="T35" s="187"/>
      <c r="U35" s="190"/>
      <c r="V35" s="187"/>
      <c r="W35" s="187"/>
      <c r="X35" s="187"/>
      <c r="Y35" s="187"/>
      <c r="Z35" s="187"/>
      <c r="AA35" s="177"/>
    </row>
    <row r="36" ht="18.75" spans="1:27">
      <c r="A36" s="197"/>
      <c r="B36" s="190"/>
      <c r="C36" s="190"/>
      <c r="D36" s="190"/>
      <c r="E36" s="190"/>
      <c r="F36" s="190"/>
      <c r="G36" s="223" t="s">
        <v>42</v>
      </c>
      <c r="H36" s="199">
        <v>10</v>
      </c>
      <c r="I36" s="200" t="s">
        <v>41</v>
      </c>
      <c r="J36" s="187"/>
      <c r="K36" s="187"/>
      <c r="L36" s="187"/>
      <c r="M36" s="187"/>
      <c r="N36" s="187"/>
      <c r="O36" s="187"/>
      <c r="P36" s="187"/>
      <c r="Q36" s="187"/>
      <c r="R36" s="187"/>
      <c r="S36" s="187"/>
      <c r="T36" s="187"/>
      <c r="U36" s="190"/>
      <c r="V36" s="187"/>
      <c r="W36" s="187"/>
      <c r="X36" s="187"/>
      <c r="Y36" s="187"/>
      <c r="Z36" s="187"/>
      <c r="AA36" s="177"/>
    </row>
    <row r="37" ht="19.5" spans="1:27">
      <c r="A37" s="220"/>
      <c r="B37" s="209"/>
      <c r="C37" s="209"/>
      <c r="D37" s="209"/>
      <c r="E37" s="209"/>
      <c r="F37" s="209"/>
      <c r="G37" s="226" t="s">
        <v>43</v>
      </c>
      <c r="H37" s="227">
        <f>Variable_Management!B134</f>
        <v>2.58198889747161</v>
      </c>
      <c r="I37" s="212" t="s">
        <v>12</v>
      </c>
      <c r="J37" s="187"/>
      <c r="K37" s="187"/>
      <c r="L37" s="187"/>
      <c r="M37" s="187"/>
      <c r="N37" s="187"/>
      <c r="O37" s="187"/>
      <c r="P37" s="187"/>
      <c r="Q37" s="187"/>
      <c r="R37" s="187"/>
      <c r="S37" s="187"/>
      <c r="T37" s="187"/>
      <c r="U37" s="190"/>
      <c r="V37" s="187"/>
      <c r="W37" s="187"/>
      <c r="X37" s="187"/>
      <c r="Y37" s="187"/>
      <c r="Z37" s="187"/>
      <c r="AA37" s="177"/>
    </row>
    <row r="38" spans="1:27">
      <c r="A38" s="187"/>
      <c r="B38" s="187"/>
      <c r="C38" s="187"/>
      <c r="D38" s="187"/>
      <c r="E38" s="187"/>
      <c r="F38" s="187"/>
      <c r="G38" s="188"/>
      <c r="H38" s="187"/>
      <c r="I38" s="187"/>
      <c r="J38" s="187"/>
      <c r="K38" s="187"/>
      <c r="L38" s="187"/>
      <c r="M38" s="187"/>
      <c r="N38" s="187"/>
      <c r="O38" s="187"/>
      <c r="P38" s="187"/>
      <c r="Q38" s="187"/>
      <c r="R38" s="187"/>
      <c r="S38" s="187"/>
      <c r="T38" s="187"/>
      <c r="U38" s="190"/>
      <c r="V38" s="187"/>
      <c r="W38" s="187"/>
      <c r="X38" s="187"/>
      <c r="Y38" s="187"/>
      <c r="Z38" s="187"/>
      <c r="AA38" s="177"/>
    </row>
    <row r="39" ht="15.75" spans="1:27">
      <c r="A39" s="214" t="s">
        <v>44</v>
      </c>
      <c r="B39" s="187"/>
      <c r="C39" s="187"/>
      <c r="D39" s="187"/>
      <c r="E39" s="187"/>
      <c r="F39" s="187"/>
      <c r="G39" s="188"/>
      <c r="H39" s="187"/>
      <c r="I39" s="187"/>
      <c r="J39" s="187"/>
      <c r="K39" s="187"/>
      <c r="L39" s="187"/>
      <c r="M39" s="187"/>
      <c r="N39" s="187"/>
      <c r="O39" s="187"/>
      <c r="P39" s="187"/>
      <c r="Q39" s="187"/>
      <c r="R39" s="187"/>
      <c r="S39" s="187"/>
      <c r="T39" s="187"/>
      <c r="U39" s="190"/>
      <c r="V39" s="187"/>
      <c r="W39" s="187"/>
      <c r="X39" s="187"/>
      <c r="Y39" s="187"/>
      <c r="Z39" s="187"/>
      <c r="AA39" s="177"/>
    </row>
    <row r="40" ht="18.75" spans="1:27">
      <c r="A40" s="192"/>
      <c r="B40" s="193"/>
      <c r="C40" s="193"/>
      <c r="D40" s="193"/>
      <c r="E40" s="193"/>
      <c r="F40" s="193"/>
      <c r="G40" s="229" t="s">
        <v>45</v>
      </c>
      <c r="H40" s="195">
        <v>500</v>
      </c>
      <c r="I40" s="196" t="s">
        <v>46</v>
      </c>
      <c r="J40" s="187"/>
      <c r="K40" s="187"/>
      <c r="L40" s="187"/>
      <c r="M40" s="187"/>
      <c r="N40" s="187"/>
      <c r="O40" s="187"/>
      <c r="P40" s="187"/>
      <c r="Q40" s="187"/>
      <c r="R40" s="187"/>
      <c r="S40" s="187"/>
      <c r="T40" s="187"/>
      <c r="U40" s="190"/>
      <c r="V40" s="187"/>
      <c r="W40" s="187"/>
      <c r="X40" s="187"/>
      <c r="Y40" s="187"/>
      <c r="Z40" s="187"/>
      <c r="AA40" s="177"/>
    </row>
    <row r="41" spans="1:27">
      <c r="A41" s="197"/>
      <c r="B41" s="190"/>
      <c r="C41" s="190"/>
      <c r="D41" s="190"/>
      <c r="E41" s="190"/>
      <c r="F41" s="190"/>
      <c r="G41" s="223" t="s">
        <v>47</v>
      </c>
      <c r="H41" s="201">
        <f>Cout_min*10^6</f>
        <v>153.333333333333</v>
      </c>
      <c r="I41" s="200" t="s">
        <v>41</v>
      </c>
      <c r="J41" s="187"/>
      <c r="K41" s="187"/>
      <c r="L41" s="187"/>
      <c r="M41" s="187"/>
      <c r="N41" s="187"/>
      <c r="O41" s="187"/>
      <c r="P41" s="187"/>
      <c r="Q41" s="187"/>
      <c r="R41" s="187"/>
      <c r="S41" s="187"/>
      <c r="T41" s="187"/>
      <c r="U41" s="190"/>
      <c r="V41" s="187"/>
      <c r="W41" s="187"/>
      <c r="X41" s="187"/>
      <c r="Y41" s="187"/>
      <c r="Z41" s="187"/>
      <c r="AA41" s="177"/>
    </row>
    <row r="42" ht="18.75" spans="1:27">
      <c r="A42" s="197"/>
      <c r="B42" s="190"/>
      <c r="C42" s="190"/>
      <c r="D42" s="190"/>
      <c r="E42" s="190"/>
      <c r="F42" s="190"/>
      <c r="G42" s="223" t="s">
        <v>48</v>
      </c>
      <c r="H42" s="201">
        <f>IRMS_COUT</f>
        <v>2.58198889747161</v>
      </c>
      <c r="I42" s="200" t="s">
        <v>12</v>
      </c>
      <c r="J42" s="187"/>
      <c r="K42" s="187"/>
      <c r="L42" s="187"/>
      <c r="M42" s="187"/>
      <c r="N42" s="187"/>
      <c r="O42" s="187"/>
      <c r="P42" s="187"/>
      <c r="Q42" s="187"/>
      <c r="R42" s="187"/>
      <c r="S42" s="187"/>
      <c r="T42" s="187"/>
      <c r="U42" s="190"/>
      <c r="V42" s="187"/>
      <c r="W42" s="187"/>
      <c r="X42" s="187"/>
      <c r="Y42" s="187"/>
      <c r="Z42" s="187"/>
      <c r="AA42" s="177"/>
    </row>
    <row r="43" ht="18.75" spans="1:27">
      <c r="A43" s="197"/>
      <c r="B43" s="190"/>
      <c r="C43" s="190"/>
      <c r="D43" s="190"/>
      <c r="E43" s="190"/>
      <c r="F43" s="190"/>
      <c r="G43" s="223" t="s">
        <v>49</v>
      </c>
      <c r="H43" s="199">
        <v>560</v>
      </c>
      <c r="I43" s="200" t="s">
        <v>41</v>
      </c>
      <c r="J43" s="187"/>
      <c r="K43" s="187"/>
      <c r="L43" s="187"/>
      <c r="M43" s="187"/>
      <c r="N43" s="187"/>
      <c r="O43" s="187"/>
      <c r="P43" s="187"/>
      <c r="Q43" s="187"/>
      <c r="R43" s="187"/>
      <c r="S43" s="187"/>
      <c r="T43" s="187"/>
      <c r="U43" s="190"/>
      <c r="V43" s="187"/>
      <c r="W43" s="187"/>
      <c r="X43" s="187"/>
      <c r="Y43" s="187"/>
      <c r="Z43" s="187"/>
      <c r="AA43" s="177"/>
    </row>
    <row r="44" ht="19.5" spans="1:27">
      <c r="A44" s="220"/>
      <c r="B44" s="209"/>
      <c r="C44" s="209"/>
      <c r="D44" s="209"/>
      <c r="E44" s="209"/>
      <c r="F44" s="209"/>
      <c r="G44" s="226" t="s">
        <v>50</v>
      </c>
      <c r="H44" s="231">
        <v>28</v>
      </c>
      <c r="I44" s="212" t="s">
        <v>33</v>
      </c>
      <c r="J44" s="187"/>
      <c r="K44" s="187"/>
      <c r="L44" s="187"/>
      <c r="M44" s="187"/>
      <c r="N44" s="187"/>
      <c r="O44" s="187"/>
      <c r="P44" s="187"/>
      <c r="Q44" s="187"/>
      <c r="R44" s="187"/>
      <c r="S44" s="187"/>
      <c r="T44" s="187"/>
      <c r="U44" s="190"/>
      <c r="V44" s="187"/>
      <c r="W44" s="187"/>
      <c r="X44" s="187"/>
      <c r="Y44" s="187"/>
      <c r="Z44" s="187"/>
      <c r="AA44" s="177"/>
    </row>
    <row r="45" spans="1:27">
      <c r="A45" s="187"/>
      <c r="B45" s="187"/>
      <c r="C45" s="187"/>
      <c r="D45" s="187"/>
      <c r="E45" s="187"/>
      <c r="F45" s="187"/>
      <c r="G45" s="188"/>
      <c r="H45" s="187"/>
      <c r="I45" s="187"/>
      <c r="J45" s="187"/>
      <c r="K45" s="187"/>
      <c r="L45" s="187"/>
      <c r="M45" s="187"/>
      <c r="N45" s="187"/>
      <c r="O45" s="187"/>
      <c r="P45" s="187"/>
      <c r="Q45" s="187"/>
      <c r="R45" s="187"/>
      <c r="S45" s="187"/>
      <c r="T45" s="187"/>
      <c r="U45" s="190"/>
      <c r="V45" s="187"/>
      <c r="W45" s="187"/>
      <c r="X45" s="187"/>
      <c r="Y45" s="187"/>
      <c r="Z45" s="187"/>
      <c r="AA45" s="177"/>
    </row>
    <row r="46" spans="1:27">
      <c r="A46" s="214"/>
      <c r="B46" s="190"/>
      <c r="C46" s="190"/>
      <c r="D46" s="190"/>
      <c r="E46" s="190"/>
      <c r="F46" s="190"/>
      <c r="G46" s="223"/>
      <c r="H46" s="190"/>
      <c r="I46" s="190"/>
      <c r="J46" s="190"/>
      <c r="K46" s="187"/>
      <c r="L46" s="187"/>
      <c r="M46" s="187"/>
      <c r="N46" s="187"/>
      <c r="O46" s="187"/>
      <c r="P46" s="187"/>
      <c r="Q46" s="187"/>
      <c r="R46" s="187"/>
      <c r="S46" s="187"/>
      <c r="T46" s="187"/>
      <c r="U46" s="190"/>
      <c r="V46" s="187"/>
      <c r="W46" s="187"/>
      <c r="X46" s="187"/>
      <c r="Y46" s="187"/>
      <c r="Z46" s="187"/>
      <c r="AA46" s="177"/>
    </row>
    <row r="47" spans="1:27">
      <c r="A47" s="190"/>
      <c r="B47" s="190"/>
      <c r="C47" s="190"/>
      <c r="D47" s="190"/>
      <c r="E47" s="190"/>
      <c r="F47" s="190"/>
      <c r="G47" s="223"/>
      <c r="H47" s="232"/>
      <c r="I47" s="190"/>
      <c r="J47" s="190"/>
      <c r="K47" s="187"/>
      <c r="L47" s="187"/>
      <c r="M47" s="187"/>
      <c r="N47" s="187"/>
      <c r="O47" s="187"/>
      <c r="P47" s="187"/>
      <c r="Q47" s="187"/>
      <c r="R47" s="187"/>
      <c r="S47" s="187"/>
      <c r="T47" s="187"/>
      <c r="U47" s="190"/>
      <c r="V47" s="187"/>
      <c r="W47" s="187"/>
      <c r="X47" s="187"/>
      <c r="Y47" s="187"/>
      <c r="Z47" s="187"/>
      <c r="AA47" s="177"/>
    </row>
    <row r="48" spans="1:27">
      <c r="A48" s="190"/>
      <c r="B48" s="190"/>
      <c r="C48" s="190"/>
      <c r="D48" s="190"/>
      <c r="E48" s="190"/>
      <c r="F48" s="190"/>
      <c r="G48" s="223"/>
      <c r="H48" s="190"/>
      <c r="I48" s="190"/>
      <c r="J48" s="190"/>
      <c r="K48" s="187"/>
      <c r="L48" s="187"/>
      <c r="M48" s="187"/>
      <c r="N48" s="187"/>
      <c r="O48" s="187"/>
      <c r="P48" s="187"/>
      <c r="Q48" s="187"/>
      <c r="R48" s="187"/>
      <c r="S48" s="187"/>
      <c r="T48" s="187"/>
      <c r="U48" s="190"/>
      <c r="V48" s="187"/>
      <c r="W48" s="187"/>
      <c r="X48" s="187"/>
      <c r="Y48" s="187"/>
      <c r="Z48" s="187"/>
      <c r="AA48" s="177"/>
    </row>
    <row r="49" spans="1:27">
      <c r="A49" s="190"/>
      <c r="B49" s="190"/>
      <c r="C49" s="190"/>
      <c r="D49" s="190"/>
      <c r="E49" s="190"/>
      <c r="F49" s="190"/>
      <c r="G49" s="223"/>
      <c r="H49" s="233"/>
      <c r="I49" s="190"/>
      <c r="J49" s="190"/>
      <c r="K49" s="187"/>
      <c r="L49" s="187"/>
      <c r="M49" s="187"/>
      <c r="N49" s="187"/>
      <c r="O49" s="187"/>
      <c r="P49" s="187"/>
      <c r="Q49" s="187"/>
      <c r="R49" s="187"/>
      <c r="S49" s="187"/>
      <c r="T49" s="187"/>
      <c r="U49" s="190"/>
      <c r="V49" s="187"/>
      <c r="W49" s="187"/>
      <c r="X49" s="187"/>
      <c r="Y49" s="187"/>
      <c r="Z49" s="187"/>
      <c r="AA49" s="177"/>
    </row>
    <row r="50" spans="1:27">
      <c r="A50" s="190"/>
      <c r="B50" s="190"/>
      <c r="C50" s="190"/>
      <c r="D50" s="190"/>
      <c r="E50" s="190"/>
      <c r="F50" s="190"/>
      <c r="G50" s="223"/>
      <c r="H50" s="190"/>
      <c r="I50" s="190"/>
      <c r="J50" s="187"/>
      <c r="K50" s="187"/>
      <c r="L50" s="187"/>
      <c r="M50" s="187"/>
      <c r="N50" s="187"/>
      <c r="O50" s="187"/>
      <c r="P50" s="187"/>
      <c r="Q50" s="187"/>
      <c r="R50" s="187"/>
      <c r="S50" s="187"/>
      <c r="T50" s="187"/>
      <c r="U50" s="190"/>
      <c r="V50" s="187"/>
      <c r="W50" s="187"/>
      <c r="X50" s="187"/>
      <c r="Y50" s="187"/>
      <c r="Z50" s="187"/>
      <c r="AA50" s="177"/>
    </row>
    <row r="51" spans="1:27">
      <c r="A51" s="214"/>
      <c r="B51" s="190"/>
      <c r="C51" s="190"/>
      <c r="D51" s="190"/>
      <c r="E51" s="190"/>
      <c r="F51" s="190"/>
      <c r="G51" s="223"/>
      <c r="H51" s="190"/>
      <c r="I51" s="190"/>
      <c r="J51" s="187"/>
      <c r="K51" s="187"/>
      <c r="L51" s="187"/>
      <c r="M51" s="187"/>
      <c r="N51" s="187"/>
      <c r="O51" s="187"/>
      <c r="P51" s="187"/>
      <c r="Q51" s="187"/>
      <c r="R51" s="187"/>
      <c r="S51" s="187"/>
      <c r="T51" s="187"/>
      <c r="U51" s="190"/>
      <c r="V51" s="187"/>
      <c r="W51" s="187"/>
      <c r="X51" s="187"/>
      <c r="Y51" s="187"/>
      <c r="Z51" s="187"/>
      <c r="AA51" s="177"/>
    </row>
    <row r="52" spans="1:27">
      <c r="A52" s="190"/>
      <c r="B52" s="190"/>
      <c r="C52" s="190"/>
      <c r="D52" s="190"/>
      <c r="E52" s="190"/>
      <c r="F52" s="190"/>
      <c r="G52" s="223"/>
      <c r="H52" s="190"/>
      <c r="I52" s="190"/>
      <c r="J52" s="187"/>
      <c r="K52" s="187"/>
      <c r="L52" s="187"/>
      <c r="M52" s="187"/>
      <c r="N52" s="187"/>
      <c r="O52" s="187"/>
      <c r="P52" s="187"/>
      <c r="Q52" s="187"/>
      <c r="R52" s="187"/>
      <c r="S52" s="187"/>
      <c r="T52" s="187"/>
      <c r="U52" s="190"/>
      <c r="V52" s="187"/>
      <c r="W52" s="187"/>
      <c r="X52" s="187"/>
      <c r="Y52" s="187"/>
      <c r="Z52" s="187"/>
      <c r="AA52" s="177"/>
    </row>
    <row r="53" spans="1:27">
      <c r="A53" s="190"/>
      <c r="B53" s="190"/>
      <c r="C53" s="190"/>
      <c r="D53" s="190"/>
      <c r="E53" s="190"/>
      <c r="F53" s="190"/>
      <c r="G53" s="223"/>
      <c r="H53" s="190"/>
      <c r="I53" s="190"/>
      <c r="J53" s="187"/>
      <c r="K53" s="187"/>
      <c r="L53" s="187"/>
      <c r="M53" s="187"/>
      <c r="N53" s="187"/>
      <c r="O53" s="187"/>
      <c r="P53" s="187"/>
      <c r="Q53" s="234">
        <f>VIN_min</f>
        <v>3</v>
      </c>
      <c r="R53" s="187"/>
      <c r="S53" s="187"/>
      <c r="T53" s="187"/>
      <c r="U53" s="190"/>
      <c r="V53" s="187"/>
      <c r="W53" s="187"/>
      <c r="X53" s="187"/>
      <c r="Y53" s="187"/>
      <c r="Z53" s="187"/>
      <c r="AA53" s="177"/>
    </row>
    <row r="54" spans="1:27">
      <c r="A54" s="190"/>
      <c r="B54" s="190"/>
      <c r="C54" s="190"/>
      <c r="D54" s="190"/>
      <c r="E54" s="190"/>
      <c r="F54" s="190"/>
      <c r="G54" s="223"/>
      <c r="H54" s="232"/>
      <c r="I54" s="235"/>
      <c r="J54" s="187"/>
      <c r="K54" s="187"/>
      <c r="L54" s="187"/>
      <c r="M54" s="187"/>
      <c r="N54" s="187"/>
      <c r="O54" s="187"/>
      <c r="P54" s="187"/>
      <c r="Q54" s="187"/>
      <c r="R54" s="187"/>
      <c r="S54" s="187"/>
      <c r="T54" s="187"/>
      <c r="U54" s="190"/>
      <c r="V54" s="187"/>
      <c r="W54" s="187"/>
      <c r="X54" s="187"/>
      <c r="Y54" s="187"/>
      <c r="Z54" s="187"/>
      <c r="AA54" s="177"/>
    </row>
    <row r="55" spans="1:27">
      <c r="A55" s="190"/>
      <c r="B55" s="190"/>
      <c r="C55" s="190"/>
      <c r="D55" s="190"/>
      <c r="E55" s="190"/>
      <c r="F55" s="190"/>
      <c r="G55" s="223"/>
      <c r="H55" s="190"/>
      <c r="I55" s="235"/>
      <c r="J55" s="187"/>
      <c r="K55" s="187"/>
      <c r="L55" s="187"/>
      <c r="M55" s="187"/>
      <c r="N55" s="187"/>
      <c r="O55" s="187"/>
      <c r="P55" s="187"/>
      <c r="Q55" s="187"/>
      <c r="R55" s="187"/>
      <c r="S55" s="187"/>
      <c r="T55" s="187"/>
      <c r="U55" s="190"/>
      <c r="V55" s="187"/>
      <c r="W55" s="187"/>
      <c r="X55" s="187"/>
      <c r="Y55" s="187"/>
      <c r="Z55" s="187"/>
      <c r="AA55" s="177"/>
    </row>
    <row r="56" spans="1:27">
      <c r="A56" s="190"/>
      <c r="B56" s="190"/>
      <c r="C56" s="190"/>
      <c r="D56" s="190"/>
      <c r="E56" s="190"/>
      <c r="F56" s="190"/>
      <c r="G56" s="223"/>
      <c r="H56" s="236"/>
      <c r="I56" s="235"/>
      <c r="J56" s="187"/>
      <c r="K56" s="187"/>
      <c r="L56" s="187"/>
      <c r="M56" s="187"/>
      <c r="N56" s="187"/>
      <c r="O56" s="187"/>
      <c r="P56" s="187"/>
      <c r="Q56" s="187"/>
      <c r="R56" s="187"/>
      <c r="S56" s="187"/>
      <c r="T56" s="187"/>
      <c r="U56" s="190"/>
      <c r="V56" s="187"/>
      <c r="W56" s="187"/>
      <c r="X56" s="187"/>
      <c r="Y56" s="187"/>
      <c r="Z56" s="187"/>
      <c r="AA56" s="177"/>
    </row>
    <row r="57" spans="1:27">
      <c r="A57" s="190"/>
      <c r="B57" s="190"/>
      <c r="C57" s="190"/>
      <c r="D57" s="190"/>
      <c r="E57" s="190"/>
      <c r="F57" s="190"/>
      <c r="G57" s="223"/>
      <c r="H57" s="190"/>
      <c r="I57" s="190"/>
      <c r="J57" s="187"/>
      <c r="K57" s="187"/>
      <c r="L57" s="187"/>
      <c r="M57" s="187"/>
      <c r="N57" s="187"/>
      <c r="O57" s="187"/>
      <c r="P57" s="187"/>
      <c r="Q57" s="187"/>
      <c r="R57" s="187"/>
      <c r="S57" s="187"/>
      <c r="T57" s="187"/>
      <c r="U57" s="190"/>
      <c r="V57" s="187"/>
      <c r="W57" s="187"/>
      <c r="X57" s="187"/>
      <c r="Y57" s="187"/>
      <c r="Z57" s="187"/>
      <c r="AA57" s="177"/>
    </row>
    <row r="58" ht="15.75" spans="1:27">
      <c r="A58" s="214" t="s">
        <v>51</v>
      </c>
      <c r="B58" s="187"/>
      <c r="C58" s="187"/>
      <c r="D58" s="187"/>
      <c r="E58" s="187"/>
      <c r="F58" s="187"/>
      <c r="G58" s="187"/>
      <c r="H58" s="187"/>
      <c r="I58" s="187"/>
      <c r="J58" s="187"/>
      <c r="K58" s="187"/>
      <c r="L58" s="187"/>
      <c r="M58" s="187"/>
      <c r="N58" s="187"/>
      <c r="O58" s="187"/>
      <c r="P58" s="187"/>
      <c r="Q58" s="187"/>
      <c r="R58" s="187"/>
      <c r="S58" s="187"/>
      <c r="T58" s="187"/>
      <c r="U58" s="190"/>
      <c r="V58" s="187"/>
      <c r="W58" s="187"/>
      <c r="X58" s="187"/>
      <c r="Y58" s="187"/>
      <c r="Z58" s="187"/>
      <c r="AA58" s="177"/>
    </row>
    <row r="59" ht="18.75" spans="1:27">
      <c r="A59" s="215"/>
      <c r="B59" s="193"/>
      <c r="C59" s="193"/>
      <c r="D59" s="193"/>
      <c r="E59" s="193"/>
      <c r="F59" s="193"/>
      <c r="G59" s="237" t="s">
        <v>52</v>
      </c>
      <c r="H59" s="238" t="str">
        <f>VIN_var&amp;"V"</f>
        <v>4V</v>
      </c>
      <c r="I59" s="196"/>
      <c r="J59" s="187"/>
      <c r="K59" s="187"/>
      <c r="L59" s="187"/>
      <c r="M59" s="187"/>
      <c r="N59" s="187"/>
      <c r="O59" s="187"/>
      <c r="P59" s="187"/>
      <c r="Q59" s="187"/>
      <c r="R59" s="187"/>
      <c r="S59" s="187"/>
      <c r="T59" s="187"/>
      <c r="U59" s="190"/>
      <c r="V59" s="187"/>
      <c r="W59" s="187"/>
      <c r="X59" s="187"/>
      <c r="Y59" s="187"/>
      <c r="Z59" s="187"/>
      <c r="AA59" s="177"/>
    </row>
    <row r="60" spans="1:27">
      <c r="A60" s="197"/>
      <c r="B60" s="190"/>
      <c r="C60" s="190"/>
      <c r="D60" s="190"/>
      <c r="E60" s="190"/>
      <c r="F60" s="190"/>
      <c r="G60" s="190"/>
      <c r="H60" s="239"/>
      <c r="I60" s="200"/>
      <c r="J60" s="187"/>
      <c r="K60" s="187"/>
      <c r="L60" s="187"/>
      <c r="M60" s="187"/>
      <c r="N60" s="187"/>
      <c r="O60" s="187"/>
      <c r="P60" s="187"/>
      <c r="Q60" s="187"/>
      <c r="R60" s="187"/>
      <c r="S60" s="187"/>
      <c r="T60" s="187"/>
      <c r="U60" s="190"/>
      <c r="V60" s="187"/>
      <c r="W60" s="187"/>
      <c r="X60" s="187"/>
      <c r="Y60" s="187"/>
      <c r="Z60" s="187"/>
      <c r="AA60" s="177"/>
    </row>
    <row r="61" spans="1:27">
      <c r="A61" s="240"/>
      <c r="B61" s="190"/>
      <c r="C61" s="190"/>
      <c r="D61" s="190"/>
      <c r="E61" s="190"/>
      <c r="F61" s="190"/>
      <c r="G61" s="241" t="s">
        <v>53</v>
      </c>
      <c r="H61" s="202"/>
      <c r="I61" s="200"/>
      <c r="J61" s="187"/>
      <c r="K61" s="187"/>
      <c r="L61" s="187"/>
      <c r="M61" s="187"/>
      <c r="N61" s="187"/>
      <c r="O61" s="187"/>
      <c r="P61" s="187"/>
      <c r="Q61" s="187"/>
      <c r="R61" s="187"/>
      <c r="S61" s="187"/>
      <c r="T61" s="187"/>
      <c r="U61" s="190"/>
      <c r="V61" s="187"/>
      <c r="W61" s="187"/>
      <c r="X61" s="187"/>
      <c r="Y61" s="187"/>
      <c r="Z61" s="187"/>
      <c r="AA61" s="177"/>
    </row>
    <row r="62" ht="18.75" spans="1:27">
      <c r="A62" s="240"/>
      <c r="B62" s="190"/>
      <c r="C62" s="190"/>
      <c r="D62" s="190"/>
      <c r="E62" s="190"/>
      <c r="F62" s="190"/>
      <c r="G62" s="223" t="s">
        <v>54</v>
      </c>
      <c r="H62" s="199">
        <v>15</v>
      </c>
      <c r="I62" s="225" t="s">
        <v>55</v>
      </c>
      <c r="J62" s="187"/>
      <c r="K62" s="187"/>
      <c r="L62" s="187"/>
      <c r="M62" s="187"/>
      <c r="N62" s="187"/>
      <c r="O62" s="187"/>
      <c r="P62" s="187"/>
      <c r="Q62" s="187"/>
      <c r="R62" s="187"/>
      <c r="S62" s="187"/>
      <c r="T62" s="187"/>
      <c r="U62" s="190"/>
      <c r="V62" s="187"/>
      <c r="W62" s="187"/>
      <c r="X62" s="187"/>
      <c r="Y62" s="187"/>
      <c r="Z62" s="187"/>
      <c r="AA62" s="177"/>
    </row>
    <row r="63" ht="18.75" spans="1:27">
      <c r="A63" s="240"/>
      <c r="B63" s="190"/>
      <c r="C63" s="190"/>
      <c r="D63" s="190"/>
      <c r="E63" s="190"/>
      <c r="F63" s="190"/>
      <c r="G63" s="223" t="s">
        <v>56</v>
      </c>
      <c r="H63" s="219">
        <f>RFBB_calc/1000</f>
        <v>1.008537886873</v>
      </c>
      <c r="I63" s="225" t="s">
        <v>55</v>
      </c>
      <c r="J63" s="187"/>
      <c r="K63" s="187"/>
      <c r="L63" s="187"/>
      <c r="M63" s="187"/>
      <c r="N63" s="187"/>
      <c r="O63" s="187"/>
      <c r="P63" s="187"/>
      <c r="Q63" s="187"/>
      <c r="R63" s="187"/>
      <c r="S63" s="187"/>
      <c r="T63" s="187"/>
      <c r="U63" s="190"/>
      <c r="V63" s="187"/>
      <c r="W63" s="187"/>
      <c r="X63" s="187"/>
      <c r="Y63" s="187"/>
      <c r="Z63" s="187"/>
      <c r="AA63" s="177"/>
    </row>
    <row r="64" ht="18.75" spans="1:27">
      <c r="A64" s="240"/>
      <c r="B64" s="190"/>
      <c r="C64" s="190"/>
      <c r="D64" s="190"/>
      <c r="E64" s="190"/>
      <c r="F64" s="190"/>
      <c r="G64" s="223" t="s">
        <v>57</v>
      </c>
      <c r="H64" s="199">
        <v>1.01</v>
      </c>
      <c r="I64" s="225" t="s">
        <v>55</v>
      </c>
      <c r="J64" s="187"/>
      <c r="K64" s="187"/>
      <c r="L64" s="187"/>
      <c r="M64" s="187"/>
      <c r="N64" s="187"/>
      <c r="O64" s="187"/>
      <c r="P64" s="187"/>
      <c r="Q64" s="187"/>
      <c r="R64" s="187"/>
      <c r="S64" s="187"/>
      <c r="T64" s="187"/>
      <c r="U64" s="190"/>
      <c r="V64" s="187"/>
      <c r="W64" s="187"/>
      <c r="X64" s="187"/>
      <c r="Y64" s="187"/>
      <c r="Z64" s="187"/>
      <c r="AA64" s="177"/>
    </row>
    <row r="65" spans="1:27">
      <c r="A65" s="197"/>
      <c r="B65" s="190"/>
      <c r="C65" s="190"/>
      <c r="D65" s="190"/>
      <c r="E65" s="190"/>
      <c r="F65" s="190"/>
      <c r="G65" s="223"/>
      <c r="H65" s="202"/>
      <c r="I65" s="200"/>
      <c r="J65" s="187"/>
      <c r="K65" s="187"/>
      <c r="L65" s="187"/>
      <c r="M65" s="187"/>
      <c r="N65" s="187"/>
      <c r="O65" s="187"/>
      <c r="P65" s="187"/>
      <c r="Q65" s="187"/>
      <c r="R65" s="187"/>
      <c r="S65" s="187"/>
      <c r="T65" s="187"/>
      <c r="U65" s="190"/>
      <c r="V65" s="187"/>
      <c r="W65" s="187"/>
      <c r="X65" s="187"/>
      <c r="Y65" s="187"/>
      <c r="Z65" s="187"/>
      <c r="AA65" s="177"/>
    </row>
    <row r="66" spans="1:27">
      <c r="A66" s="197"/>
      <c r="B66" s="190"/>
      <c r="C66" s="190"/>
      <c r="D66" s="190"/>
      <c r="E66" s="190"/>
      <c r="F66" s="190"/>
      <c r="G66" s="223"/>
      <c r="H66" s="202"/>
      <c r="I66" s="200"/>
      <c r="J66" s="187"/>
      <c r="K66" s="187"/>
      <c r="L66" s="187"/>
      <c r="M66" s="187"/>
      <c r="N66" s="187"/>
      <c r="O66" s="187"/>
      <c r="P66" s="187"/>
      <c r="Q66" s="187"/>
      <c r="R66" s="187"/>
      <c r="S66" s="187"/>
      <c r="T66" s="187"/>
      <c r="U66" s="190"/>
      <c r="V66" s="187"/>
      <c r="W66" s="187"/>
      <c r="X66" s="187"/>
      <c r="Y66" s="187"/>
      <c r="Z66" s="187"/>
      <c r="AA66" s="177"/>
    </row>
    <row r="67" spans="1:27">
      <c r="A67" s="197"/>
      <c r="B67" s="190"/>
      <c r="C67" s="190"/>
      <c r="D67" s="190"/>
      <c r="E67" s="190"/>
      <c r="F67" s="190"/>
      <c r="G67" s="223" t="s">
        <v>58</v>
      </c>
      <c r="H67" s="242">
        <f>fcross_est/1000</f>
        <v>1.03796702016454</v>
      </c>
      <c r="I67" s="200" t="s">
        <v>14</v>
      </c>
      <c r="J67" s="187"/>
      <c r="K67" s="187"/>
      <c r="L67" s="187"/>
      <c r="M67" s="187"/>
      <c r="N67" s="187"/>
      <c r="O67" s="187"/>
      <c r="P67" s="187"/>
      <c r="Q67" s="187"/>
      <c r="R67" s="187"/>
      <c r="S67" s="187"/>
      <c r="T67" s="187"/>
      <c r="U67" s="190"/>
      <c r="V67" s="187"/>
      <c r="W67" s="187"/>
      <c r="X67" s="187"/>
      <c r="Y67" s="187"/>
      <c r="Z67" s="187"/>
      <c r="AA67" s="177"/>
    </row>
    <row r="68" ht="18.75" spans="1:27">
      <c r="A68" s="197"/>
      <c r="B68" s="190"/>
      <c r="C68" s="190"/>
      <c r="D68" s="190"/>
      <c r="E68" s="190"/>
      <c r="F68" s="190"/>
      <c r="G68" s="223" t="s">
        <v>59</v>
      </c>
      <c r="H68" s="199">
        <v>0.7</v>
      </c>
      <c r="I68" s="200" t="s">
        <v>14</v>
      </c>
      <c r="J68" s="187"/>
      <c r="K68" s="187"/>
      <c r="L68" s="187"/>
      <c r="M68" s="187"/>
      <c r="N68" s="187"/>
      <c r="O68" s="187"/>
      <c r="P68" s="187"/>
      <c r="Q68" s="187"/>
      <c r="R68" s="187"/>
      <c r="S68" s="187"/>
      <c r="T68" s="187"/>
      <c r="U68" s="190"/>
      <c r="V68" s="187"/>
      <c r="W68" s="187"/>
      <c r="X68" s="187"/>
      <c r="Y68" s="187"/>
      <c r="Z68" s="187"/>
      <c r="AA68" s="177"/>
    </row>
    <row r="69" spans="1:27">
      <c r="A69" s="197"/>
      <c r="B69" s="190"/>
      <c r="C69" s="190"/>
      <c r="D69" s="190"/>
      <c r="E69" s="190"/>
      <c r="F69" s="190"/>
      <c r="G69" s="223"/>
      <c r="H69" s="202"/>
      <c r="I69" s="200"/>
      <c r="J69" s="187"/>
      <c r="K69" s="187"/>
      <c r="L69" s="187"/>
      <c r="M69" s="187"/>
      <c r="N69" s="187"/>
      <c r="O69" s="187"/>
      <c r="P69" s="187"/>
      <c r="Q69" s="187"/>
      <c r="R69" s="187"/>
      <c r="S69" s="187"/>
      <c r="T69" s="187"/>
      <c r="U69" s="190"/>
      <c r="V69" s="187"/>
      <c r="W69" s="187"/>
      <c r="X69" s="187"/>
      <c r="Y69" s="187"/>
      <c r="Z69" s="187"/>
      <c r="AA69" s="177"/>
    </row>
    <row r="70" ht="15.75" spans="1:27">
      <c r="A70" s="197"/>
      <c r="B70" s="190"/>
      <c r="C70" s="190"/>
      <c r="D70" s="190"/>
      <c r="E70" s="190"/>
      <c r="F70" s="243" t="s">
        <v>60</v>
      </c>
      <c r="G70" s="243"/>
      <c r="H70" s="244" t="s">
        <v>61</v>
      </c>
      <c r="I70" s="245"/>
      <c r="J70" s="187"/>
      <c r="K70" s="187"/>
      <c r="L70" s="187"/>
      <c r="M70" s="187"/>
      <c r="N70" s="187"/>
      <c r="O70" s="187"/>
      <c r="P70" s="187"/>
      <c r="Q70" s="187"/>
      <c r="R70" s="187"/>
      <c r="S70" s="187"/>
      <c r="T70" s="187"/>
      <c r="U70" s="190"/>
      <c r="V70" s="187"/>
      <c r="W70" s="187"/>
      <c r="X70" s="187"/>
      <c r="Y70" s="187"/>
      <c r="Z70" s="187"/>
      <c r="AA70" s="177"/>
    </row>
    <row r="71" ht="19.5" spans="1:27">
      <c r="A71" s="197"/>
      <c r="B71" s="190"/>
      <c r="C71" s="190"/>
      <c r="D71" s="190"/>
      <c r="E71" s="223" t="s">
        <v>62</v>
      </c>
      <c r="F71" s="246">
        <f>RCOMP_Calc/1000</f>
        <v>4.16293347512721</v>
      </c>
      <c r="G71" s="247" t="s">
        <v>55</v>
      </c>
      <c r="H71" s="248">
        <v>2.5</v>
      </c>
      <c r="I71" s="225" t="s">
        <v>55</v>
      </c>
      <c r="J71" s="187"/>
      <c r="K71" s="187"/>
      <c r="L71" s="187"/>
      <c r="M71" s="187"/>
      <c r="N71" s="187"/>
      <c r="O71" s="187"/>
      <c r="P71" s="187"/>
      <c r="Q71" s="187"/>
      <c r="R71" s="187"/>
      <c r="S71" s="187"/>
      <c r="T71" s="187"/>
      <c r="U71" s="190"/>
      <c r="V71" s="187"/>
      <c r="W71" s="187"/>
      <c r="X71" s="187"/>
      <c r="Y71" s="187"/>
      <c r="Z71" s="187"/>
      <c r="AA71" s="177"/>
    </row>
    <row r="72" ht="19.5" spans="1:27">
      <c r="A72" s="197"/>
      <c r="B72" s="190"/>
      <c r="C72" s="190"/>
      <c r="D72" s="190"/>
      <c r="E72" s="223" t="s">
        <v>63</v>
      </c>
      <c r="F72" s="249">
        <f>CCOMP_Calc*(10^9)</f>
        <v>280.349816761115</v>
      </c>
      <c r="G72" s="247" t="s">
        <v>64</v>
      </c>
      <c r="H72" s="248">
        <v>220</v>
      </c>
      <c r="I72" s="200" t="s">
        <v>64</v>
      </c>
      <c r="J72" s="187"/>
      <c r="K72" s="187"/>
      <c r="L72" s="187"/>
      <c r="M72" s="187"/>
      <c r="N72" s="187"/>
      <c r="O72" s="187"/>
      <c r="P72" s="187"/>
      <c r="Q72" s="187"/>
      <c r="R72" s="187"/>
      <c r="S72" s="187"/>
      <c r="T72" s="187"/>
      <c r="U72" s="190"/>
      <c r="V72" s="187"/>
      <c r="W72" s="187"/>
      <c r="X72" s="187"/>
      <c r="Y72" s="187"/>
      <c r="Z72" s="187"/>
      <c r="AA72" s="177"/>
    </row>
    <row r="73" ht="19.5" spans="1:27">
      <c r="A73" s="220"/>
      <c r="B73" s="209"/>
      <c r="C73" s="209"/>
      <c r="D73" s="209"/>
      <c r="E73" s="226" t="s">
        <v>65</v>
      </c>
      <c r="F73" s="250">
        <f>CHF_calc*(10^12)</f>
        <v>6138.83351925882</v>
      </c>
      <c r="G73" s="251" t="s">
        <v>66</v>
      </c>
      <c r="H73" s="231">
        <v>4700</v>
      </c>
      <c r="I73" s="212" t="s">
        <v>66</v>
      </c>
      <c r="J73" s="187"/>
      <c r="K73" s="187"/>
      <c r="L73" s="187"/>
      <c r="M73" s="187"/>
      <c r="N73" s="187"/>
      <c r="O73" s="187"/>
      <c r="P73" s="187"/>
      <c r="Q73" s="187"/>
      <c r="R73" s="187"/>
      <c r="S73" s="187"/>
      <c r="T73" s="187"/>
      <c r="U73" s="190"/>
      <c r="V73" s="187"/>
      <c r="W73" s="187"/>
      <c r="X73" s="187"/>
      <c r="Y73" s="187"/>
      <c r="Z73" s="187"/>
      <c r="AA73" s="177"/>
    </row>
    <row r="74" spans="1:27">
      <c r="A74" s="187"/>
      <c r="B74" s="187"/>
      <c r="C74" s="187"/>
      <c r="D74" s="187"/>
      <c r="E74" s="188"/>
      <c r="F74" s="252"/>
      <c r="G74" s="188"/>
      <c r="H74" s="253"/>
      <c r="I74" s="187"/>
      <c r="J74" s="187"/>
      <c r="K74" s="187"/>
      <c r="L74" s="187"/>
      <c r="M74" s="187"/>
      <c r="N74" s="187"/>
      <c r="O74" s="187"/>
      <c r="P74" s="187"/>
      <c r="Q74" s="187"/>
      <c r="R74" s="187"/>
      <c r="S74" s="187"/>
      <c r="T74" s="187"/>
      <c r="U74" s="190"/>
      <c r="V74" s="187"/>
      <c r="W74" s="187"/>
      <c r="X74" s="187"/>
      <c r="Y74" s="187"/>
      <c r="Z74" s="187"/>
      <c r="AA74" s="177"/>
    </row>
    <row r="75" ht="23.25" spans="1:27">
      <c r="A75" s="254" t="s">
        <v>67</v>
      </c>
      <c r="B75" s="255"/>
      <c r="C75" s="255"/>
      <c r="D75" s="255"/>
      <c r="E75" s="255"/>
      <c r="F75" s="255"/>
      <c r="G75" s="256"/>
      <c r="H75" s="255"/>
      <c r="I75" s="255"/>
      <c r="J75" s="255"/>
      <c r="K75" s="255"/>
      <c r="L75" s="255"/>
      <c r="M75" s="255"/>
      <c r="N75" s="255"/>
      <c r="O75" s="255"/>
      <c r="P75" s="255"/>
      <c r="Q75" s="255"/>
      <c r="R75" s="255"/>
      <c r="S75" s="255"/>
      <c r="T75" s="257"/>
      <c r="U75" s="258"/>
      <c r="V75" s="257"/>
      <c r="W75" s="257"/>
      <c r="X75" s="257"/>
      <c r="Y75" s="257"/>
      <c r="Z75" s="257"/>
    </row>
    <row r="76" spans="1:27">
      <c r="A76" s="187"/>
      <c r="B76" s="187"/>
      <c r="C76" s="187"/>
      <c r="D76" s="187"/>
      <c r="E76" s="187"/>
      <c r="F76" s="187"/>
      <c r="G76" s="187"/>
      <c r="H76" s="187"/>
      <c r="I76" s="187"/>
      <c r="J76" s="187"/>
      <c r="K76" s="187"/>
      <c r="L76" s="187"/>
      <c r="M76" s="187"/>
      <c r="N76" s="187"/>
      <c r="O76" s="187"/>
      <c r="P76" s="187"/>
      <c r="Q76" s="187"/>
      <c r="R76" s="187"/>
      <c r="S76" s="187"/>
      <c r="T76" s="187"/>
      <c r="U76" s="190"/>
      <c r="V76" s="187"/>
      <c r="W76" s="187"/>
      <c r="X76" s="187"/>
      <c r="Y76" s="187"/>
      <c r="Z76" s="187"/>
      <c r="AA76" s="177"/>
    </row>
    <row r="77" ht="15.75" spans="1:27">
      <c r="A77" s="259" t="s">
        <v>68</v>
      </c>
      <c r="B77" s="190"/>
      <c r="C77" s="190"/>
      <c r="D77" s="190"/>
      <c r="E77" s="190"/>
      <c r="F77" s="187"/>
      <c r="G77" s="187"/>
      <c r="H77" s="190"/>
      <c r="I77" s="190"/>
      <c r="J77" s="187"/>
      <c r="K77" s="187"/>
      <c r="L77" s="187"/>
      <c r="M77" s="187"/>
      <c r="N77" s="187"/>
      <c r="O77" s="187"/>
      <c r="P77" s="187"/>
      <c r="Q77" s="187"/>
      <c r="R77" s="187"/>
      <c r="S77" s="187"/>
      <c r="T77" s="187"/>
      <c r="U77" s="190"/>
      <c r="V77" s="187"/>
      <c r="W77" s="187"/>
      <c r="X77" s="187"/>
      <c r="Y77" s="187"/>
      <c r="Z77" s="187"/>
      <c r="AA77" s="177"/>
    </row>
    <row r="78" ht="16.5" spans="1:27">
      <c r="A78" s="192"/>
      <c r="B78" s="193"/>
      <c r="C78" s="193"/>
      <c r="D78" s="193"/>
      <c r="E78" s="193"/>
      <c r="F78" s="193"/>
      <c r="G78" s="260" t="s">
        <v>69</v>
      </c>
      <c r="H78" s="195">
        <v>6.5</v>
      </c>
      <c r="I78" s="261" t="s">
        <v>70</v>
      </c>
      <c r="J78" s="80"/>
      <c r="K78" s="80"/>
      <c r="L78" s="80"/>
      <c r="M78" s="80"/>
      <c r="N78" s="80"/>
      <c r="O78" s="80"/>
      <c r="P78" s="80"/>
      <c r="Q78" s="80"/>
      <c r="R78" s="80"/>
      <c r="S78" s="80"/>
      <c r="T78" s="80"/>
      <c r="U78" s="262"/>
      <c r="V78" s="253"/>
      <c r="W78" s="80"/>
      <c r="X78" s="80"/>
      <c r="Y78" s="80"/>
      <c r="Z78" s="80"/>
      <c r="AA78" s="177"/>
    </row>
    <row r="79" ht="16.5" spans="1:27">
      <c r="A79" s="240"/>
      <c r="B79" s="190"/>
      <c r="C79" s="190"/>
      <c r="D79" s="190"/>
      <c r="E79" s="190"/>
      <c r="F79" s="190"/>
      <c r="G79" s="263" t="s">
        <v>71</v>
      </c>
      <c r="H79" s="199">
        <v>30</v>
      </c>
      <c r="I79" s="264" t="s">
        <v>72</v>
      </c>
      <c r="J79" s="80"/>
      <c r="K79" s="80"/>
      <c r="L79" s="80"/>
      <c r="M79" s="80"/>
      <c r="N79" s="80"/>
      <c r="O79" s="80"/>
      <c r="P79" s="80"/>
      <c r="Q79" s="80"/>
      <c r="R79" s="80"/>
      <c r="S79" s="80"/>
      <c r="T79" s="80"/>
      <c r="U79" s="262"/>
      <c r="V79" s="253"/>
      <c r="W79" s="80"/>
      <c r="X79" s="80"/>
      <c r="Y79" s="80"/>
      <c r="Z79" s="80"/>
      <c r="AA79" s="177"/>
    </row>
    <row r="80" ht="16.5" spans="1:27">
      <c r="A80" s="240"/>
      <c r="B80" s="190"/>
      <c r="C80" s="190"/>
      <c r="D80" s="190"/>
      <c r="E80" s="190"/>
      <c r="F80" s="190"/>
      <c r="G80" s="263" t="s">
        <v>73</v>
      </c>
      <c r="H80" s="199">
        <v>6.5</v>
      </c>
      <c r="I80" s="264" t="s">
        <v>72</v>
      </c>
      <c r="J80" s="80"/>
      <c r="K80" s="80"/>
      <c r="L80" s="80"/>
      <c r="M80" s="80"/>
      <c r="N80" s="80"/>
      <c r="O80" s="80"/>
      <c r="P80" s="80"/>
      <c r="Q80" s="80"/>
      <c r="R80" s="80"/>
      <c r="S80" s="80"/>
      <c r="T80" s="80"/>
      <c r="U80" s="262"/>
      <c r="V80" s="253"/>
      <c r="W80" s="80"/>
      <c r="X80" s="80"/>
      <c r="Y80" s="80"/>
      <c r="Z80" s="80"/>
      <c r="AA80" s="177"/>
    </row>
    <row r="81" ht="16.5" spans="1:27">
      <c r="A81" s="197"/>
      <c r="B81" s="190"/>
      <c r="C81" s="190"/>
      <c r="D81" s="190"/>
      <c r="E81" s="190"/>
      <c r="F81" s="190"/>
      <c r="G81" s="263" t="s">
        <v>74</v>
      </c>
      <c r="H81" s="199">
        <v>3.5</v>
      </c>
      <c r="I81" s="264" t="s">
        <v>72</v>
      </c>
      <c r="J81" s="80"/>
      <c r="K81" s="80"/>
      <c r="L81" s="80"/>
      <c r="M81" s="80"/>
      <c r="N81" s="80"/>
      <c r="O81" s="80"/>
      <c r="P81" s="80"/>
      <c r="Q81" s="80"/>
      <c r="R81" s="80"/>
      <c r="S81" s="80"/>
      <c r="T81" s="80"/>
      <c r="U81" s="262"/>
      <c r="V81" s="253"/>
      <c r="W81" s="80"/>
      <c r="X81" s="80"/>
      <c r="Y81" s="80"/>
      <c r="Z81" s="80"/>
      <c r="AA81" s="177"/>
    </row>
    <row r="82" ht="16.5" spans="1:27">
      <c r="A82" s="197"/>
      <c r="B82" s="190"/>
      <c r="C82" s="190"/>
      <c r="D82" s="190"/>
      <c r="E82" s="190"/>
      <c r="F82" s="190"/>
      <c r="G82" s="263" t="s">
        <v>75</v>
      </c>
      <c r="H82" s="199">
        <v>1.3</v>
      </c>
      <c r="I82" s="264" t="s">
        <v>76</v>
      </c>
      <c r="J82" s="80"/>
      <c r="K82" s="80"/>
      <c r="L82" s="80"/>
      <c r="M82" s="80"/>
      <c r="N82" s="80"/>
      <c r="O82" s="80"/>
      <c r="P82" s="80"/>
      <c r="Q82" s="80"/>
      <c r="R82" s="80"/>
      <c r="S82" s="80"/>
      <c r="T82" s="80"/>
      <c r="U82" s="262"/>
      <c r="V82" s="253"/>
      <c r="W82" s="80"/>
      <c r="X82" s="80"/>
      <c r="Y82" s="80"/>
      <c r="Z82" s="80"/>
      <c r="AA82" s="177"/>
    </row>
    <row r="83" ht="16.5" spans="1:27">
      <c r="A83" s="197"/>
      <c r="B83" s="190"/>
      <c r="C83" s="190"/>
      <c r="D83" s="190"/>
      <c r="E83" s="190"/>
      <c r="F83" s="190"/>
      <c r="G83" s="263" t="s">
        <v>77</v>
      </c>
      <c r="H83" s="199">
        <v>70</v>
      </c>
      <c r="I83" s="264" t="s">
        <v>78</v>
      </c>
      <c r="J83" s="80"/>
      <c r="K83" s="80"/>
      <c r="L83" s="80"/>
      <c r="M83" s="80"/>
      <c r="N83" s="80"/>
      <c r="O83" s="80"/>
      <c r="P83" s="80"/>
      <c r="Q83" s="80"/>
      <c r="R83" s="80"/>
      <c r="S83" s="80"/>
      <c r="T83" s="80"/>
      <c r="U83" s="262"/>
      <c r="V83" s="253"/>
      <c r="W83" s="80"/>
      <c r="X83" s="80"/>
      <c r="Y83" s="80"/>
      <c r="Z83" s="80"/>
      <c r="AA83" s="177"/>
    </row>
    <row r="84" ht="17.25" spans="1:27">
      <c r="A84" s="220"/>
      <c r="B84" s="209"/>
      <c r="C84" s="209"/>
      <c r="D84" s="209"/>
      <c r="E84" s="209"/>
      <c r="F84" s="209"/>
      <c r="G84" s="265" t="s">
        <v>79</v>
      </c>
      <c r="H84" s="231">
        <v>10</v>
      </c>
      <c r="I84" s="266" t="s">
        <v>7</v>
      </c>
      <c r="J84" s="80"/>
      <c r="K84" s="80"/>
      <c r="L84" s="80"/>
      <c r="M84" s="80"/>
      <c r="N84" s="80"/>
      <c r="O84" s="80"/>
      <c r="P84" s="80"/>
      <c r="Q84" s="80"/>
      <c r="R84" s="80"/>
      <c r="S84" s="80"/>
      <c r="T84" s="80"/>
      <c r="U84" s="262"/>
      <c r="V84" s="253"/>
      <c r="W84" s="80"/>
      <c r="X84" s="80"/>
      <c r="Y84" s="80"/>
      <c r="Z84" s="80"/>
      <c r="AA84" s="177"/>
    </row>
    <row r="85" spans="1:27">
      <c r="A85" s="187"/>
      <c r="B85" s="187"/>
      <c r="C85" s="187"/>
      <c r="D85" s="187"/>
      <c r="E85" s="187"/>
      <c r="F85" s="187"/>
      <c r="G85" s="188"/>
      <c r="H85" s="187"/>
      <c r="I85" s="190"/>
      <c r="J85" s="187"/>
      <c r="K85" s="187"/>
      <c r="L85" s="187"/>
      <c r="M85" s="187"/>
      <c r="N85" s="187"/>
      <c r="O85" s="187"/>
      <c r="P85" s="187"/>
      <c r="Q85" s="187"/>
      <c r="R85" s="187"/>
      <c r="S85" s="187"/>
      <c r="T85" s="187"/>
      <c r="U85" s="190"/>
      <c r="V85" s="187"/>
      <c r="W85" s="187"/>
      <c r="X85" s="187"/>
      <c r="Y85" s="187"/>
      <c r="Z85" s="187"/>
      <c r="AA85" s="177"/>
    </row>
    <row r="86" ht="15.75" spans="1:27">
      <c r="A86" s="267" t="s">
        <v>80</v>
      </c>
      <c r="B86" s="187"/>
      <c r="C86" s="187"/>
      <c r="D86" s="187"/>
      <c r="E86" s="187"/>
      <c r="F86" s="187"/>
      <c r="G86" s="188"/>
      <c r="H86" s="187"/>
      <c r="I86" s="187"/>
      <c r="J86" s="187"/>
      <c r="K86" s="187"/>
      <c r="L86" s="187"/>
      <c r="M86" s="187"/>
      <c r="N86" s="187"/>
      <c r="O86" s="187"/>
      <c r="P86" s="187"/>
      <c r="Q86" s="187"/>
      <c r="R86" s="187"/>
      <c r="S86" s="187"/>
      <c r="T86" s="187"/>
      <c r="U86" s="190"/>
      <c r="V86" s="187"/>
      <c r="W86" s="187"/>
      <c r="X86" s="187"/>
      <c r="Y86" s="187"/>
      <c r="Z86" s="187"/>
      <c r="AA86" s="177"/>
    </row>
    <row r="87" ht="18.75" spans="1:27">
      <c r="A87" s="192"/>
      <c r="B87" s="193"/>
      <c r="C87" s="193"/>
      <c r="D87" s="193"/>
      <c r="E87" s="193"/>
      <c r="F87" s="193"/>
      <c r="G87" s="229" t="s">
        <v>81</v>
      </c>
      <c r="H87" s="268">
        <f>IOUT</f>
        <v>1</v>
      </c>
      <c r="I87" s="196" t="s">
        <v>12</v>
      </c>
      <c r="J87" s="80"/>
      <c r="K87" s="80"/>
      <c r="L87" s="80"/>
      <c r="M87" s="80"/>
      <c r="N87" s="80"/>
      <c r="O87" s="80"/>
      <c r="P87" s="80"/>
      <c r="Q87" s="80"/>
      <c r="R87" s="80"/>
      <c r="S87" s="80"/>
      <c r="T87" s="80"/>
      <c r="U87" s="262"/>
      <c r="V87" s="253"/>
      <c r="W87" s="80"/>
      <c r="X87" s="80"/>
      <c r="Y87" s="80"/>
      <c r="Z87" s="80"/>
      <c r="AA87" s="177"/>
    </row>
    <row r="88" ht="18.75" spans="1:27">
      <c r="A88" s="197"/>
      <c r="B88" s="190"/>
      <c r="C88" s="190"/>
      <c r="D88" s="190"/>
      <c r="E88" s="190"/>
      <c r="F88" s="190"/>
      <c r="G88" s="223" t="s">
        <v>82</v>
      </c>
      <c r="H88" s="199">
        <v>325</v>
      </c>
      <c r="I88" s="200" t="s">
        <v>46</v>
      </c>
      <c r="J88" s="80"/>
      <c r="K88" s="80"/>
      <c r="L88" s="80"/>
      <c r="M88" s="80"/>
      <c r="N88" s="80"/>
      <c r="O88" s="80"/>
      <c r="P88" s="80"/>
      <c r="Q88" s="80"/>
      <c r="R88" s="80"/>
      <c r="S88" s="80"/>
      <c r="T88" s="80"/>
      <c r="U88" s="262"/>
      <c r="V88" s="253"/>
      <c r="W88" s="80"/>
      <c r="X88" s="80"/>
      <c r="Y88" s="80"/>
      <c r="Z88" s="80"/>
      <c r="AA88" s="177"/>
    </row>
    <row r="89" ht="15.75" spans="1:27">
      <c r="A89" s="220"/>
      <c r="B89" s="209"/>
      <c r="C89" s="209"/>
      <c r="D89" s="209"/>
      <c r="E89" s="209"/>
      <c r="F89" s="209"/>
      <c r="G89" s="226" t="s">
        <v>83</v>
      </c>
      <c r="H89" s="231">
        <v>0</v>
      </c>
      <c r="I89" s="212" t="s">
        <v>72</v>
      </c>
      <c r="J89" s="80"/>
      <c r="K89" s="80"/>
      <c r="L89" s="80"/>
      <c r="M89" s="80"/>
      <c r="N89" s="80"/>
      <c r="O89" s="80"/>
      <c r="P89" s="80"/>
      <c r="Q89" s="80"/>
      <c r="R89" s="80"/>
      <c r="S89" s="80"/>
      <c r="T89" s="80"/>
      <c r="U89" s="262"/>
      <c r="V89" s="253"/>
      <c r="W89" s="80"/>
      <c r="X89" s="80"/>
      <c r="Y89" s="80"/>
      <c r="Z89" s="80"/>
      <c r="AA89" s="177"/>
    </row>
    <row r="90" spans="1:27">
      <c r="A90" s="187"/>
      <c r="B90" s="187"/>
      <c r="C90" s="187"/>
      <c r="D90" s="187"/>
      <c r="E90" s="187"/>
      <c r="F90" s="187"/>
      <c r="G90" s="188"/>
      <c r="H90" s="187"/>
      <c r="I90" s="187"/>
      <c r="J90" s="187"/>
      <c r="K90" s="187"/>
      <c r="L90" s="187"/>
      <c r="M90" s="187"/>
      <c r="N90" s="187"/>
      <c r="O90" s="187"/>
      <c r="P90" s="187"/>
      <c r="Q90" s="187"/>
      <c r="R90" s="187"/>
      <c r="S90" s="187"/>
      <c r="T90" s="187"/>
      <c r="U90" s="190"/>
      <c r="V90" s="187"/>
      <c r="W90" s="187"/>
      <c r="X90" s="187"/>
      <c r="Y90" s="187"/>
      <c r="Z90" s="187"/>
      <c r="AA90" s="177"/>
    </row>
    <row r="91" spans="1:27">
      <c r="A91" s="187"/>
      <c r="B91" s="187"/>
      <c r="C91" s="187"/>
      <c r="D91" s="187"/>
      <c r="E91" s="187"/>
      <c r="F91" s="187"/>
      <c r="G91" s="188"/>
      <c r="H91" s="187"/>
      <c r="I91" s="187"/>
      <c r="J91" s="187"/>
      <c r="K91" s="187"/>
      <c r="L91" s="187"/>
      <c r="M91" s="187"/>
      <c r="N91" s="187"/>
      <c r="O91" s="187"/>
      <c r="P91" s="187"/>
      <c r="Q91" s="187"/>
      <c r="R91" s="187"/>
      <c r="S91" s="187"/>
      <c r="T91" s="187"/>
      <c r="U91" s="190"/>
      <c r="V91" s="187"/>
      <c r="W91" s="187"/>
      <c r="X91" s="187"/>
      <c r="Y91" s="187"/>
      <c r="Z91" s="187"/>
      <c r="AA91" s="177"/>
    </row>
    <row r="92" spans="1:27">
      <c r="A92" s="187"/>
      <c r="B92" s="187"/>
      <c r="C92" s="187"/>
      <c r="D92" s="187"/>
      <c r="E92" s="187"/>
      <c r="F92" s="187"/>
      <c r="G92" s="188"/>
      <c r="H92" s="187"/>
      <c r="I92" s="187"/>
      <c r="J92" s="187"/>
      <c r="K92" s="187"/>
      <c r="L92" s="187"/>
      <c r="M92" s="187"/>
      <c r="N92" s="187"/>
      <c r="O92" s="187"/>
      <c r="P92" s="187"/>
      <c r="Q92" s="187"/>
      <c r="R92" s="187"/>
      <c r="S92" s="187"/>
      <c r="T92" s="187"/>
      <c r="U92" s="190"/>
      <c r="V92" s="187"/>
      <c r="W92" s="187"/>
      <c r="X92" s="187"/>
      <c r="Y92" s="187"/>
      <c r="Z92" s="187"/>
      <c r="AA92" s="177"/>
    </row>
    <row r="93" spans="1:27">
      <c r="A93" s="187"/>
      <c r="B93" s="187"/>
      <c r="C93" s="187"/>
      <c r="D93" s="187"/>
      <c r="E93" s="187"/>
      <c r="F93" s="187"/>
      <c r="G93" s="188"/>
      <c r="H93" s="187"/>
      <c r="I93" s="187"/>
      <c r="J93" s="187"/>
      <c r="K93" s="187"/>
      <c r="L93" s="187"/>
      <c r="M93" s="187"/>
      <c r="N93" s="187"/>
      <c r="O93" s="187"/>
      <c r="P93" s="187"/>
      <c r="Q93" s="187"/>
      <c r="R93" s="187"/>
      <c r="S93" s="187"/>
      <c r="T93" s="187"/>
      <c r="U93" s="190"/>
      <c r="V93" s="187"/>
      <c r="W93" s="187"/>
      <c r="X93" s="187"/>
      <c r="Y93" s="187"/>
      <c r="Z93" s="187"/>
      <c r="AA93" s="177"/>
    </row>
    <row r="94" spans="1:27">
      <c r="A94" s="187"/>
      <c r="B94" s="187"/>
      <c r="C94" s="187"/>
      <c r="D94" s="187"/>
      <c r="E94" s="187"/>
      <c r="F94" s="187"/>
      <c r="G94" s="188"/>
      <c r="H94" s="187"/>
      <c r="I94" s="187"/>
      <c r="J94" s="187"/>
      <c r="K94" s="187"/>
      <c r="L94" s="187"/>
      <c r="M94" s="187"/>
      <c r="N94" s="187"/>
      <c r="O94" s="187"/>
      <c r="P94" s="187"/>
      <c r="Q94" s="187"/>
      <c r="R94" s="187"/>
      <c r="S94" s="187"/>
      <c r="T94" s="187"/>
      <c r="U94" s="190"/>
      <c r="V94" s="187"/>
      <c r="W94" s="187"/>
      <c r="X94" s="187"/>
      <c r="Y94" s="187"/>
      <c r="Z94" s="187"/>
      <c r="AA94" s="177"/>
    </row>
    <row r="95" spans="1:27">
      <c r="A95" s="187"/>
      <c r="B95" s="187"/>
      <c r="C95" s="187"/>
      <c r="D95" s="187"/>
      <c r="E95" s="187"/>
      <c r="F95" s="187"/>
      <c r="G95" s="188"/>
      <c r="H95" s="187"/>
      <c r="I95" s="187"/>
      <c r="J95" s="187"/>
      <c r="K95" s="187"/>
      <c r="L95" s="187"/>
      <c r="M95" s="187"/>
      <c r="N95" s="187"/>
      <c r="O95" s="187"/>
      <c r="P95" s="187"/>
      <c r="Q95" s="187"/>
      <c r="R95" s="187"/>
      <c r="S95" s="187"/>
      <c r="T95" s="187"/>
      <c r="U95" s="190"/>
      <c r="V95" s="187"/>
      <c r="W95" s="187"/>
      <c r="X95" s="187"/>
      <c r="Y95" s="187"/>
      <c r="Z95" s="187"/>
      <c r="AA95" s="177"/>
    </row>
    <row r="96" spans="1:27">
      <c r="A96" s="187"/>
      <c r="B96" s="187"/>
      <c r="C96" s="187"/>
      <c r="D96" s="187"/>
      <c r="E96" s="187"/>
      <c r="F96" s="187"/>
      <c r="G96" s="188"/>
      <c r="H96" s="187"/>
      <c r="I96" s="187"/>
      <c r="J96" s="187"/>
      <c r="K96" s="187"/>
      <c r="L96" s="187"/>
      <c r="M96" s="187"/>
      <c r="N96" s="187"/>
      <c r="O96" s="187"/>
      <c r="P96" s="187"/>
      <c r="Q96" s="187"/>
      <c r="R96" s="187"/>
      <c r="S96" s="187"/>
      <c r="T96" s="187"/>
      <c r="U96" s="190"/>
      <c r="V96" s="187"/>
      <c r="W96" s="187"/>
      <c r="X96" s="187"/>
      <c r="Y96" s="187"/>
      <c r="Z96" s="187"/>
      <c r="AA96" s="177"/>
    </row>
    <row r="97" spans="1:27">
      <c r="A97" s="187"/>
      <c r="B97" s="187"/>
      <c r="C97" s="187"/>
      <c r="D97" s="187"/>
      <c r="E97" s="187"/>
      <c r="F97" s="187"/>
      <c r="G97" s="188"/>
      <c r="H97" s="187"/>
      <c r="I97" s="187"/>
      <c r="J97" s="187"/>
      <c r="K97" s="187"/>
      <c r="L97" s="187"/>
      <c r="M97" s="187"/>
      <c r="N97" s="187"/>
      <c r="O97" s="187"/>
      <c r="P97" s="187"/>
      <c r="Q97" s="187"/>
      <c r="R97" s="187"/>
      <c r="S97" s="187"/>
      <c r="T97" s="187"/>
      <c r="U97" s="190"/>
      <c r="V97" s="187"/>
      <c r="W97" s="187"/>
      <c r="X97" s="187"/>
      <c r="Y97" s="187"/>
      <c r="Z97" s="187"/>
      <c r="AA97" s="177"/>
    </row>
    <row r="98" spans="1:27">
      <c r="A98" s="187"/>
      <c r="B98" s="187"/>
      <c r="C98" s="187"/>
      <c r="D98" s="187"/>
      <c r="E98" s="187"/>
      <c r="F98" s="187"/>
      <c r="G98" s="188"/>
      <c r="H98" s="187"/>
      <c r="I98" s="187"/>
      <c r="J98" s="187"/>
      <c r="K98" s="187"/>
      <c r="L98" s="187"/>
      <c r="M98" s="187"/>
      <c r="N98" s="187"/>
      <c r="O98" s="187"/>
      <c r="P98" s="187"/>
      <c r="Q98" s="187"/>
      <c r="R98" s="187"/>
      <c r="S98" s="187"/>
      <c r="T98" s="187"/>
      <c r="U98" s="190"/>
      <c r="V98" s="187"/>
      <c r="W98" s="187"/>
      <c r="X98" s="187"/>
      <c r="Y98" s="187"/>
      <c r="Z98" s="187"/>
      <c r="AA98" s="177"/>
    </row>
    <row r="99" spans="1:27">
      <c r="A99" s="187"/>
      <c r="B99" s="187"/>
      <c r="C99" s="187"/>
      <c r="D99" s="187"/>
      <c r="E99" s="187"/>
      <c r="F99" s="187"/>
      <c r="G99" s="188"/>
      <c r="H99" s="187"/>
      <c r="I99" s="187"/>
      <c r="J99" s="187"/>
      <c r="K99" s="187"/>
      <c r="L99" s="187"/>
      <c r="M99" s="187"/>
      <c r="N99" s="187"/>
      <c r="O99" s="187"/>
      <c r="P99" s="187"/>
      <c r="Q99" s="187"/>
      <c r="R99" s="187"/>
      <c r="S99" s="187"/>
      <c r="T99" s="187"/>
      <c r="U99" s="190"/>
      <c r="V99" s="187"/>
      <c r="W99" s="187"/>
      <c r="X99" s="187"/>
      <c r="Y99" s="187"/>
      <c r="Z99" s="187"/>
      <c r="AA99" s="177"/>
    </row>
    <row r="100" spans="1:27">
      <c r="A100" s="187"/>
      <c r="B100" s="187"/>
      <c r="C100" s="187"/>
      <c r="D100" s="187"/>
      <c r="E100" s="187"/>
      <c r="F100" s="187"/>
      <c r="G100" s="188"/>
      <c r="H100" s="187"/>
      <c r="I100" s="187"/>
      <c r="J100" s="187"/>
      <c r="K100" s="187"/>
      <c r="L100" s="187"/>
      <c r="M100" s="187"/>
      <c r="N100" s="187"/>
      <c r="O100" s="187"/>
      <c r="P100" s="187"/>
      <c r="Q100" s="187"/>
      <c r="R100" s="187"/>
      <c r="S100" s="187"/>
      <c r="T100" s="187"/>
      <c r="U100" s="190"/>
      <c r="V100" s="187"/>
      <c r="W100" s="187"/>
      <c r="X100" s="187"/>
      <c r="Y100" s="187"/>
      <c r="Z100" s="187"/>
      <c r="AA100" s="177"/>
    </row>
    <row r="101" spans="1:27">
      <c r="A101" s="187"/>
      <c r="B101" s="187"/>
      <c r="C101" s="187"/>
      <c r="D101" s="187"/>
      <c r="E101" s="187"/>
      <c r="F101" s="187"/>
      <c r="G101" s="188"/>
      <c r="H101" s="187"/>
      <c r="I101" s="187"/>
      <c r="J101" s="187"/>
      <c r="K101" s="187"/>
      <c r="L101" s="187"/>
      <c r="M101" s="187"/>
      <c r="N101" s="187"/>
      <c r="O101" s="187"/>
      <c r="P101" s="187"/>
      <c r="Q101" s="187"/>
      <c r="R101" s="187"/>
      <c r="S101" s="187"/>
      <c r="T101" s="187"/>
      <c r="U101" s="190"/>
      <c r="V101" s="187"/>
      <c r="W101" s="187"/>
      <c r="X101" s="187"/>
      <c r="Y101" s="187"/>
      <c r="Z101" s="187"/>
      <c r="AA101" s="177"/>
    </row>
    <row r="102" spans="1:27">
      <c r="A102" s="269"/>
      <c r="B102" s="269"/>
      <c r="C102" s="269"/>
      <c r="D102" s="269"/>
      <c r="E102" s="269"/>
      <c r="F102" s="269"/>
      <c r="G102" s="270"/>
      <c r="H102" s="269"/>
      <c r="I102" s="269"/>
      <c r="J102" s="269"/>
      <c r="K102" s="269"/>
      <c r="L102" s="269"/>
      <c r="M102" s="269"/>
      <c r="N102" s="269"/>
      <c r="O102" s="269"/>
      <c r="P102" s="269"/>
      <c r="Q102" s="269"/>
      <c r="R102" s="269"/>
      <c r="S102" s="269"/>
      <c r="T102" s="269"/>
      <c r="U102" s="178"/>
      <c r="V102" s="269"/>
      <c r="W102" s="269"/>
      <c r="X102" s="269"/>
      <c r="Y102" s="269"/>
      <c r="Z102" s="269"/>
      <c r="AA102" s="177"/>
    </row>
  </sheetData>
  <sheetProtection algorithmName="SHA-512" hashValue="bZn5BxNoQji7e1OWgd53ovX541s0yIMhHlSN7b6uPqCJHi2+HVCy3Ji5mYlhYKsqPcL7cRV0iAgdJo4VuP7CPw==" saltValue="3v/sh/XiDIsewZ/5WLObCA==" spinCount="100000" sheet="1" selectLockedCells="1" objects="1" scenarios="1"/>
  <conditionalFormatting sqref="H7">
    <cfRule type="cellIs" dxfId="0" priority="9" operator="lessThan">
      <formula>VIN_op_min</formula>
    </cfRule>
    <cfRule type="cellIs" dxfId="0" priority="10" operator="greaterThan">
      <formula>VIN_op_max</formula>
    </cfRule>
  </conditionalFormatting>
  <conditionalFormatting sqref="H8">
    <cfRule type="cellIs" dxfId="0" priority="8" operator="notBetween">
      <formula>$H$7</formula>
      <formula>$H$9</formula>
    </cfRule>
  </conditionalFormatting>
  <conditionalFormatting sqref="H9">
    <cfRule type="cellIs" dxfId="0" priority="5" operator="greaterThan">
      <formula>VIN_op_max</formula>
    </cfRule>
    <cfRule type="cellIs" dxfId="0" priority="6" operator="lessThan">
      <formula>VIN_op_min</formula>
    </cfRule>
  </conditionalFormatting>
  <conditionalFormatting sqref="H12">
    <cfRule type="cellIs" dxfId="0" priority="1" operator="notBetween">
      <formula>100</formula>
      <formula>1000</formula>
    </cfRule>
  </conditionalFormatting>
  <conditionalFormatting sqref="H16">
    <cfRule type="expression" dxfId="1" priority="2">
      <formula>$H$16&gt;$H$15</formula>
    </cfRule>
  </conditionalFormatting>
  <conditionalFormatting sqref="H59">
    <cfRule type="expression" dxfId="2" priority="3">
      <formula>Loop_Modeling!$B$16&gt;$H$9</formula>
    </cfRule>
    <cfRule type="expression" dxfId="2" priority="4">
      <formula>Loop_Modeling!$B$16&lt;$H$7</formula>
    </cfRule>
  </conditionalFormatting>
  <hyperlinks>
    <hyperlink ref="O3" location="Licenses!A1" display="TERMS OF USE"/>
  </hyperlinks>
  <pageMargins left="0.2" right="0.2" top="0.25" bottom="0.25" header="0" footer="0"/>
  <pageSetup paperSize="9" scale="44" orientation="portrait"/>
  <headerFooter/>
  <drawing r:id="rId2"/>
  <legacyDrawing r:id="rId3"/>
  <mc:AlternateContent xmlns:mc="http://schemas.openxmlformats.org/markup-compatibility/2006">
    <mc:Choice Requires="x14">
      <controls>
        <mc:AlternateContent xmlns:mc="http://schemas.openxmlformats.org/markup-compatibility/2006">
          <mc:Choice Requires="x14">
            <control shapeId="1060" name="Spinner 36" r:id="rId4">
              <controlPr defaultSize="0">
                <anchor moveWithCells="1" sizeWithCells="1">
                  <from>
                    <xdr:col>7</xdr:col>
                    <xdr:colOff>751840</xdr:colOff>
                    <xdr:row>58</xdr:row>
                    <xdr:rowOff>0</xdr:rowOff>
                  </from>
                  <to>
                    <xdr:col>8</xdr:col>
                    <xdr:colOff>269240</xdr:colOff>
                    <xdr:row>60</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M47"/>
  <sheetViews>
    <sheetView topLeftCell="A7" workbookViewId="0">
      <selection activeCell="A50" sqref="A50"/>
    </sheetView>
  </sheetViews>
  <sheetFormatPr defaultColWidth="9.14285714285714" defaultRowHeight="14.25"/>
  <cols>
    <col min="1" max="1" width="25.7142857142857" style="150" customWidth="1"/>
    <col min="2" max="2" width="56.5714285714286" style="151" customWidth="1"/>
    <col min="3" max="11" width="9.14285714285714" style="152"/>
    <col min="12" max="12" width="20.4285714285714" style="152" customWidth="1"/>
    <col min="13" max="16384" width="9.14285714285714" style="152"/>
  </cols>
  <sheetData>
    <row r="1" spans="1:12">
      <c r="B1" s="150"/>
      <c r="C1" s="150"/>
      <c r="D1" s="150"/>
      <c r="E1" s="150"/>
      <c r="F1" s="150"/>
      <c r="G1" s="150"/>
      <c r="H1" s="150"/>
      <c r="I1" s="150"/>
      <c r="J1" s="150"/>
      <c r="K1" s="150"/>
      <c r="L1" s="150"/>
    </row>
    <row r="2" spans="1:12">
      <c r="B2" s="150"/>
      <c r="C2" s="150"/>
      <c r="D2" s="150"/>
      <c r="E2" s="150"/>
      <c r="F2" s="150"/>
      <c r="G2" s="150"/>
      <c r="H2" s="150"/>
      <c r="I2" s="150"/>
      <c r="J2" s="150"/>
      <c r="K2" s="150"/>
      <c r="L2" s="150"/>
    </row>
    <row r="3" spans="1:12">
      <c r="B3" s="150"/>
      <c r="C3" s="150"/>
      <c r="D3" s="150"/>
      <c r="E3" s="150"/>
      <c r="F3" s="150"/>
      <c r="G3" s="150"/>
      <c r="H3" s="150"/>
      <c r="I3" s="150"/>
      <c r="J3" s="150"/>
      <c r="K3" s="150"/>
      <c r="L3" s="150"/>
    </row>
    <row r="4" spans="1:12">
      <c r="A4" s="153"/>
      <c r="B4" s="153"/>
      <c r="C4" s="153"/>
      <c r="D4" s="153"/>
      <c r="E4" s="153"/>
      <c r="F4" s="153"/>
      <c r="G4" s="153"/>
      <c r="H4" s="153"/>
      <c r="I4" s="153"/>
      <c r="J4" s="153"/>
      <c r="K4" s="153"/>
      <c r="L4" s="153"/>
    </row>
    <row r="5" spans="1:12">
      <c r="A5" s="154" t="s">
        <v>84</v>
      </c>
      <c r="B5" s="155" t="s">
        <v>85</v>
      </c>
      <c r="C5" s="156"/>
      <c r="D5" s="156"/>
      <c r="E5" s="156"/>
      <c r="F5" s="156"/>
      <c r="G5" s="156"/>
      <c r="H5" s="156"/>
      <c r="I5" s="156"/>
      <c r="J5" s="156"/>
      <c r="K5" s="157"/>
      <c r="L5" s="158"/>
    </row>
    <row r="6" spans="1:12">
      <c r="A6" s="154"/>
      <c r="B6" s="159"/>
      <c r="C6" s="156"/>
      <c r="D6" s="156"/>
      <c r="E6" s="156"/>
      <c r="F6" s="156"/>
      <c r="G6" s="156"/>
      <c r="H6" s="156"/>
      <c r="I6" s="156"/>
      <c r="J6" s="158"/>
      <c r="K6" s="158"/>
      <c r="L6" s="158"/>
    </row>
    <row r="35" spans="1:39">
      <c r="A35" s="160" t="s">
        <v>86</v>
      </c>
      <c r="B35" s="161"/>
      <c r="C35" s="156"/>
      <c r="D35" s="156"/>
      <c r="E35" s="156"/>
      <c r="F35" s="156"/>
      <c r="G35" s="156"/>
      <c r="H35" s="156"/>
      <c r="I35" s="156"/>
      <c r="J35" s="156"/>
      <c r="K35" s="156"/>
    </row>
    <row r="36" spans="1:39">
      <c r="A36" s="162" t="s">
        <v>87</v>
      </c>
      <c r="B36" s="163" t="s">
        <v>88</v>
      </c>
      <c r="C36" s="163"/>
      <c r="D36" s="163"/>
      <c r="E36" s="163"/>
      <c r="F36" s="163"/>
      <c r="G36" s="163"/>
      <c r="H36" s="163"/>
      <c r="I36" s="163"/>
      <c r="J36" s="163"/>
      <c r="K36" s="163"/>
    </row>
    <row r="37" spans="1:39">
      <c r="A37" s="160" t="s">
        <v>85</v>
      </c>
      <c r="B37" s="164" t="s">
        <v>89</v>
      </c>
      <c r="C37" s="164"/>
      <c r="D37" s="164"/>
      <c r="E37" s="164"/>
      <c r="F37" s="164"/>
      <c r="G37" s="164"/>
      <c r="H37" s="164"/>
      <c r="I37" s="164"/>
      <c r="J37" s="164"/>
      <c r="K37" s="164"/>
    </row>
    <row r="38" spans="1:39">
      <c r="A38" s="165"/>
      <c r="B38" s="166"/>
      <c r="C38" s="166"/>
      <c r="D38" s="166"/>
      <c r="E38" s="166"/>
      <c r="F38" s="166"/>
      <c r="G38" s="166"/>
      <c r="H38" s="166"/>
      <c r="I38" s="166"/>
      <c r="J38" s="166"/>
      <c r="K38" s="166"/>
    </row>
    <row r="39" spans="1:39">
      <c r="A39" s="165"/>
      <c r="B39" s="166"/>
      <c r="C39" s="166"/>
      <c r="D39" s="166"/>
      <c r="E39" s="166"/>
      <c r="F39" s="166"/>
      <c r="G39" s="166"/>
      <c r="H39" s="166"/>
      <c r="I39" s="166"/>
      <c r="J39" s="166"/>
      <c r="K39" s="166"/>
    </row>
    <row r="40" spans="1:39">
      <c r="A40" s="165"/>
      <c r="B40" s="166"/>
      <c r="C40" s="166"/>
      <c r="D40" s="166"/>
      <c r="E40" s="166"/>
      <c r="F40" s="166"/>
      <c r="G40" s="166"/>
      <c r="H40" s="166"/>
      <c r="I40" s="166"/>
      <c r="J40" s="166"/>
      <c r="K40" s="166"/>
    </row>
    <row r="41" spans="1:39">
      <c r="A41" s="165"/>
      <c r="B41" s="166"/>
      <c r="C41" s="166"/>
      <c r="D41" s="166"/>
      <c r="E41" s="166"/>
      <c r="F41" s="166"/>
      <c r="G41" s="166"/>
      <c r="H41" s="166"/>
      <c r="I41" s="166"/>
      <c r="J41" s="166"/>
      <c r="K41" s="166"/>
    </row>
    <row r="42" spans="1:39">
      <c r="A42" s="165"/>
      <c r="B42" s="166"/>
      <c r="C42" s="166"/>
      <c r="D42" s="166"/>
      <c r="E42" s="166"/>
      <c r="F42" s="166"/>
      <c r="G42" s="166"/>
      <c r="H42" s="166"/>
      <c r="I42" s="166"/>
      <c r="J42" s="166"/>
      <c r="K42" s="166"/>
    </row>
    <row r="43" spans="1:39">
      <c r="A43" s="165"/>
      <c r="B43" s="166"/>
      <c r="C43" s="166"/>
      <c r="D43" s="166"/>
      <c r="E43" s="166"/>
      <c r="F43" s="166"/>
      <c r="G43" s="166"/>
      <c r="H43" s="166"/>
      <c r="I43" s="166"/>
      <c r="J43" s="166"/>
      <c r="K43" s="166"/>
    </row>
    <row r="44" ht="15" spans="1:39">
      <c r="A44" s="165"/>
      <c r="B44" s="166"/>
      <c r="C44" s="166"/>
      <c r="D44" s="166"/>
      <c r="E44" s="166"/>
      <c r="F44" s="166"/>
      <c r="G44" s="166"/>
      <c r="H44" s="166"/>
      <c r="I44" s="166"/>
      <c r="J44" s="166"/>
      <c r="K44" s="166"/>
      <c r="L44" s="167"/>
      <c r="M44" s="167"/>
      <c r="N44" s="167"/>
      <c r="O44" s="167"/>
      <c r="P44" s="167"/>
      <c r="Q44" s="167"/>
      <c r="R44" s="167"/>
      <c r="S44" s="167"/>
      <c r="T44" s="167"/>
      <c r="U44" s="167"/>
      <c r="V44" s="167"/>
      <c r="W44" s="167"/>
      <c r="X44" s="167"/>
      <c r="Y44" s="167"/>
      <c r="Z44" s="167"/>
      <c r="AA44" s="167"/>
      <c r="AB44" s="167"/>
      <c r="AC44" s="167"/>
      <c r="AD44" s="167"/>
      <c r="AE44" s="167"/>
      <c r="AF44" s="167"/>
      <c r="AG44" s="167"/>
      <c r="AH44" s="167"/>
      <c r="AI44" s="167"/>
      <c r="AJ44" s="167"/>
      <c r="AK44" s="167"/>
      <c r="AL44" s="167"/>
      <c r="AM44" s="167"/>
    </row>
    <row r="45" spans="1:39">
      <c r="A45" s="165"/>
      <c r="B45" s="166"/>
      <c r="C45" s="166"/>
      <c r="D45" s="166"/>
      <c r="E45" s="166"/>
      <c r="F45" s="166"/>
      <c r="G45" s="166"/>
      <c r="H45" s="166"/>
      <c r="I45" s="166"/>
      <c r="J45" s="166"/>
      <c r="K45" s="166"/>
    </row>
    <row r="46" spans="1:39">
      <c r="A46" s="165"/>
      <c r="B46" s="166"/>
      <c r="C46" s="166"/>
      <c r="D46" s="166"/>
      <c r="E46" s="166"/>
      <c r="F46" s="166"/>
      <c r="G46" s="166"/>
      <c r="H46" s="166"/>
      <c r="I46" s="166"/>
      <c r="J46" s="166"/>
      <c r="K46" s="166"/>
    </row>
    <row r="47" spans="1:39">
      <c r="A47" s="165"/>
      <c r="B47" s="166"/>
    </row>
  </sheetData>
  <sheetProtection algorithmName="SHA-512" hashValue="rCkc88BxOJWQBe78FPqt7ICVbVz8nKNKE2ce/WFibG/yE/6MwiXhVzvzNZ/2E2b/sxv5Bcf6aJyMuWEv2OSzgw==" saltValue="2OMgcJZhoSr8okNqcdjVFg==" spinCount="100000" sheet="1" selectLockedCells="1" objects="1" scenarios="1"/>
  <mergeCells count="5">
    <mergeCell ref="A4:L4"/>
    <mergeCell ref="B36:K36"/>
    <mergeCell ref="B37:K37"/>
    <mergeCell ref="B38:K38"/>
    <mergeCell ref="A1:L3"/>
  </mergeCells>
  <pageMargins left="0.7" right="0.7" top="0.75" bottom="0.75" header="0.3" footer="0.3"/>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Q263"/>
  <sheetViews>
    <sheetView zoomScale="85" zoomScaleNormal="85" workbookViewId="0">
      <pane ySplit="5" topLeftCell="A6" activePane="bottomLeft" state="frozen"/>
      <selection/>
      <selection pane="bottomLeft" activeCell="C247" sqref="C247"/>
    </sheetView>
  </sheetViews>
  <sheetFormatPr defaultColWidth="9" defaultRowHeight="15"/>
  <cols>
    <col min="1" max="1" width="28.8571428571429" customWidth="1"/>
    <col min="2" max="2" width="19.5714285714286" customWidth="1"/>
    <col min="3" max="3" width="10.8571428571429" customWidth="1"/>
    <col min="4" max="4" width="10" customWidth="1"/>
    <col min="5" max="5" width="18.5714285714286" customWidth="1"/>
    <col min="6" max="6" width="14.8571428571429" customWidth="1"/>
    <col min="7" max="7" width="15.1428571428571" customWidth="1"/>
    <col min="8" max="9" width="12.5714285714286" customWidth="1"/>
    <col min="12" max="12" width="12.4285714285714" customWidth="1"/>
  </cols>
  <sheetData>
    <row r="1" ht="27.75" spans="1:17">
      <c r="A1" s="1" t="s">
        <v>90</v>
      </c>
      <c r="B1" s="1"/>
      <c r="C1" s="1"/>
      <c r="D1" s="1"/>
      <c r="E1" s="1"/>
      <c r="F1" s="1"/>
      <c r="G1" s="1"/>
      <c r="H1" s="1"/>
      <c r="I1" s="1"/>
      <c r="J1" s="1"/>
    </row>
    <row r="2" spans="1:17">
      <c r="A2" s="2"/>
      <c r="B2" s="2" t="s">
        <v>91</v>
      </c>
      <c r="C2" s="3"/>
      <c r="D2" s="4"/>
      <c r="E2" s="2"/>
      <c r="F2" s="2"/>
      <c r="G2" s="2"/>
      <c r="H2" s="2"/>
      <c r="I2" s="2"/>
      <c r="J2" s="2"/>
    </row>
    <row r="3" spans="1:17">
      <c r="A3" s="2"/>
      <c r="B3" s="2" t="s">
        <v>92</v>
      </c>
      <c r="C3" s="5"/>
      <c r="D3" s="4"/>
      <c r="E3" s="2"/>
      <c r="F3" s="20" t="s">
        <v>93</v>
      </c>
      <c r="G3" s="21" t="s">
        <v>94</v>
      </c>
      <c r="H3" s="22" t="s">
        <v>95</v>
      </c>
      <c r="I3" s="2"/>
      <c r="J3" s="2"/>
    </row>
    <row r="4" spans="1:17">
      <c r="A4" s="2"/>
      <c r="B4" s="2" t="s">
        <v>96</v>
      </c>
      <c r="C4" s="6"/>
      <c r="D4" s="4"/>
      <c r="E4" s="2"/>
      <c r="F4" s="2"/>
      <c r="G4" s="2"/>
      <c r="H4" s="2"/>
      <c r="I4" s="2"/>
      <c r="J4" s="2"/>
    </row>
    <row r="5" spans="1:17">
      <c r="A5" s="7" t="s">
        <v>97</v>
      </c>
      <c r="B5" s="7" t="s">
        <v>98</v>
      </c>
      <c r="C5" s="7" t="s">
        <v>99</v>
      </c>
      <c r="D5" s="4"/>
      <c r="E5" s="8" t="s">
        <v>100</v>
      </c>
      <c r="F5" s="8"/>
      <c r="G5" s="8"/>
      <c r="H5" s="8"/>
      <c r="I5" s="8"/>
      <c r="J5" s="41" t="s">
        <v>101</v>
      </c>
      <c r="K5" s="7" t="s">
        <v>102</v>
      </c>
      <c r="L5" s="4"/>
      <c r="M5" s="4"/>
      <c r="N5" s="4"/>
      <c r="O5" s="4"/>
      <c r="P5" s="4"/>
      <c r="Q5" s="4"/>
    </row>
    <row r="6" ht="15.75" spans="1:17">
      <c r="A6" s="116" t="s">
        <v>103</v>
      </c>
      <c r="B6" s="117"/>
      <c r="C6" s="117"/>
      <c r="D6" s="117"/>
      <c r="E6" s="118"/>
      <c r="F6" s="118"/>
      <c r="G6" s="118"/>
      <c r="H6" s="118"/>
      <c r="I6" s="118"/>
      <c r="J6" s="117"/>
      <c r="K6" s="4"/>
      <c r="L6" s="4"/>
      <c r="M6" s="4"/>
      <c r="N6" s="4"/>
      <c r="O6" s="4"/>
      <c r="P6" s="4"/>
      <c r="Q6" s="4"/>
    </row>
    <row r="7" spans="1:17">
      <c r="A7" t="s">
        <v>104</v>
      </c>
      <c r="B7" s="15">
        <f>'Design Converter'!H7</f>
        <v>3</v>
      </c>
      <c r="C7" t="s">
        <v>7</v>
      </c>
      <c r="E7" t="s">
        <v>105</v>
      </c>
    </row>
    <row r="8" spans="1:17">
      <c r="A8" t="s">
        <v>106</v>
      </c>
      <c r="B8" s="15">
        <f>'Design Converter'!H8</f>
        <v>3.7</v>
      </c>
      <c r="C8" t="s">
        <v>7</v>
      </c>
      <c r="E8" t="s">
        <v>107</v>
      </c>
      <c r="K8">
        <f>IF(VIN_min&lt;VIN_min,1,IF(VIN_nom&gt;VIN_max,1,0))</f>
        <v>0</v>
      </c>
    </row>
    <row r="9" spans="1:17">
      <c r="A9" t="s">
        <v>108</v>
      </c>
      <c r="B9" s="15">
        <f>'Design Converter'!H9</f>
        <v>12.6</v>
      </c>
      <c r="C9" t="s">
        <v>7</v>
      </c>
      <c r="E9" t="s">
        <v>109</v>
      </c>
    </row>
    <row r="10" customFormat="1" spans="1:17">
      <c r="A10" t="s">
        <v>110</v>
      </c>
      <c r="B10" s="15">
        <f>'Design Converter'!H12*1000</f>
        <v>700000</v>
      </c>
      <c r="C10" t="s">
        <v>111</v>
      </c>
      <c r="E10" t="s">
        <v>112</v>
      </c>
    </row>
    <row r="11" customFormat="1" spans="1:17">
      <c r="A11" t="s">
        <v>113</v>
      </c>
      <c r="B11" s="89">
        <f>(4.503*10^11)*Fsw^-1.26</f>
        <v>19439.2012767176</v>
      </c>
      <c r="C11" s="16" t="s">
        <v>35</v>
      </c>
      <c r="E11" t="s">
        <v>114</v>
      </c>
    </row>
    <row r="13" spans="1:17">
      <c r="A13" t="s">
        <v>115</v>
      </c>
      <c r="B13" s="15">
        <f>'Design Converter'!H10</f>
        <v>20</v>
      </c>
      <c r="C13" t="s">
        <v>7</v>
      </c>
      <c r="E13" t="s">
        <v>116</v>
      </c>
    </row>
    <row r="14" spans="1:17">
      <c r="A14" t="s">
        <v>117</v>
      </c>
      <c r="B14" s="15">
        <f>'Design Converter'!H11</f>
        <v>1</v>
      </c>
      <c r="C14" t="s">
        <v>12</v>
      </c>
      <c r="E14" t="s">
        <v>118</v>
      </c>
    </row>
    <row r="15" spans="1:17">
      <c r="A15" t="s">
        <v>119</v>
      </c>
      <c r="B15" s="12">
        <f>VOUT/IOUT</f>
        <v>20</v>
      </c>
      <c r="C15" s="16" t="s">
        <v>35</v>
      </c>
      <c r="E15" t="s">
        <v>120</v>
      </c>
    </row>
    <row r="16" spans="1:17">
      <c r="A16" t="s">
        <v>121</v>
      </c>
      <c r="B16" s="12">
        <f>VOUT*IOUT</f>
        <v>20</v>
      </c>
      <c r="C16" s="16" t="s">
        <v>18</v>
      </c>
      <c r="E16" t="s">
        <v>122</v>
      </c>
    </row>
    <row r="17" spans="1:11">
      <c r="A17" t="s">
        <v>123</v>
      </c>
      <c r="B17" s="119">
        <v>1</v>
      </c>
      <c r="E17" t="s">
        <v>124</v>
      </c>
    </row>
    <row r="19" spans="1:11">
      <c r="A19" t="s">
        <v>125</v>
      </c>
      <c r="B19" s="12">
        <f>(VOUT)/(VIN_min+VOUT)</f>
        <v>0.869565217391304</v>
      </c>
      <c r="E19" t="s">
        <v>126</v>
      </c>
    </row>
    <row r="20" customFormat="1" spans="1:11">
      <c r="A20" t="s">
        <v>127</v>
      </c>
      <c r="B20" s="10">
        <f>Constants!B20</f>
        <v>0.97</v>
      </c>
      <c r="E20" t="s">
        <v>128</v>
      </c>
    </row>
    <row r="21" customFormat="1" spans="1:11">
      <c r="A21" t="s">
        <v>129</v>
      </c>
      <c r="B21" s="120">
        <f>IF(B19&gt;Dc_max_IC,1,0)</f>
        <v>0</v>
      </c>
      <c r="E21" t="s">
        <v>130</v>
      </c>
      <c r="K21">
        <f>B21</f>
        <v>0</v>
      </c>
    </row>
    <row r="22" customFormat="1" spans="1:11">
      <c r="E22" s="17" t="s">
        <v>131</v>
      </c>
    </row>
    <row r="23" customFormat="1" spans="1:11">
      <c r="E23" s="17"/>
    </row>
    <row r="24" customFormat="1" spans="1:11">
      <c r="A24" t="s">
        <v>132</v>
      </c>
      <c r="B24" s="85">
        <v>1</v>
      </c>
      <c r="E24" s="121" t="s">
        <v>133</v>
      </c>
    </row>
    <row r="26" spans="1:11">
      <c r="A26" s="122" t="s">
        <v>22</v>
      </c>
    </row>
    <row r="27" customFormat="1" spans="1:11">
      <c r="A27" s="123" t="s">
        <v>134</v>
      </c>
      <c r="E27" t="s">
        <v>135</v>
      </c>
    </row>
    <row r="28" spans="1:11">
      <c r="A28" t="s">
        <v>136</v>
      </c>
      <c r="B28" s="15">
        <f>'Design Converter'!H20/100</f>
        <v>0.6</v>
      </c>
      <c r="E28" t="s">
        <v>137</v>
      </c>
    </row>
    <row r="29" customFormat="1" spans="1:11">
      <c r="A29" t="s">
        <v>138</v>
      </c>
      <c r="B29" s="124">
        <f>(VIN_nom^2)/(2*ILrip*IOUT*Fsw*(VIN_nom+VOUT))</f>
        <v>6.8766325095439e-7</v>
      </c>
      <c r="C29" t="s">
        <v>139</v>
      </c>
      <c r="E29" t="s">
        <v>140</v>
      </c>
    </row>
    <row r="31" customFormat="1" spans="1:11">
      <c r="A31" s="125" t="s">
        <v>141</v>
      </c>
      <c r="E31" t="s">
        <v>142</v>
      </c>
    </row>
    <row r="32" customFormat="1" spans="1:11">
      <c r="A32" s="121" t="s">
        <v>143</v>
      </c>
      <c r="B32" s="126">
        <v>0.7</v>
      </c>
      <c r="E32" t="s">
        <v>144</v>
      </c>
    </row>
    <row r="33" customFormat="1" spans="1:5">
      <c r="A33" t="s">
        <v>145</v>
      </c>
      <c r="B33" s="124">
        <f>((DC_DCM_max^2)*(VIN_min^2))/(2*IOUT*VOUT*Fsw-2*IOUT*VIN_min*Fsw)</f>
        <v>1.85294117647059e-7</v>
      </c>
      <c r="C33" t="s">
        <v>139</v>
      </c>
      <c r="E33" t="s">
        <v>146</v>
      </c>
    </row>
    <row r="34" customFormat="1" spans="1:5">
      <c r="A34" t="s">
        <v>147</v>
      </c>
      <c r="B34" s="10">
        <v>0.2</v>
      </c>
      <c r="E34" t="s">
        <v>148</v>
      </c>
    </row>
    <row r="35" customFormat="1" spans="1:5">
      <c r="A35" t="s">
        <v>149</v>
      </c>
      <c r="B35" s="124">
        <f>(1-M_L_DCM)*((VIN_min^2)*(1-(VIN_min/VOUT)))/(2*IOUT*VOUT*Fsw)</f>
        <v>2.18571428571429e-7</v>
      </c>
      <c r="C35" t="s">
        <v>139</v>
      </c>
      <c r="E35" t="s">
        <v>150</v>
      </c>
    </row>
    <row r="36" customFormat="1" spans="1:5">
      <c r="A36" t="s">
        <v>151</v>
      </c>
      <c r="B36" s="124">
        <f>MIN(B33,B35)</f>
        <v>1.85294117647059e-7</v>
      </c>
      <c r="C36" t="s">
        <v>139</v>
      </c>
      <c r="E36" t="s">
        <v>152</v>
      </c>
    </row>
    <row r="37" customFormat="1" spans="1:5">
      <c r="B37" s="127"/>
    </row>
    <row r="38" customFormat="1" spans="1:5">
      <c r="A38" t="s">
        <v>153</v>
      </c>
      <c r="B38" s="124">
        <f>IF(B21=1,B36,Lopt_2)</f>
        <v>6.8766325095439e-7</v>
      </c>
      <c r="E38" t="s">
        <v>154</v>
      </c>
    </row>
    <row r="39" customFormat="1"/>
    <row r="40" spans="1:5">
      <c r="A40" t="s">
        <v>155</v>
      </c>
      <c r="B40" s="128">
        <f>'Design Converter'!H22*10^-6</f>
        <v>1e-5</v>
      </c>
      <c r="C40" t="s">
        <v>139</v>
      </c>
      <c r="E40" t="s">
        <v>156</v>
      </c>
    </row>
    <row r="41" customFormat="1" spans="1:5">
      <c r="B41" s="128">
        <f>Lm</f>
        <v>1e-5</v>
      </c>
      <c r="E41" t="s">
        <v>157</v>
      </c>
    </row>
    <row r="42" customFormat="1" ht="15.6" customHeight="1" spans="1:5">
      <c r="A42" t="s">
        <v>158</v>
      </c>
      <c r="B42" s="129">
        <f>Lm</f>
        <v>1e-5</v>
      </c>
      <c r="E42" t="s">
        <v>159</v>
      </c>
    </row>
    <row r="43" customFormat="1" ht="15.6" customHeight="1" spans="1:5">
      <c r="B43" s="128">
        <f>Lm</f>
        <v>1e-5</v>
      </c>
      <c r="E43" t="s">
        <v>157</v>
      </c>
    </row>
    <row r="44" customFormat="1" spans="1:5">
      <c r="A44" t="s">
        <v>160</v>
      </c>
      <c r="B44" s="129">
        <f>Lm</f>
        <v>1e-5</v>
      </c>
      <c r="E44" t="s">
        <v>161</v>
      </c>
    </row>
    <row r="45" customFormat="1" spans="1:5">
      <c r="B45" s="129"/>
    </row>
    <row r="46" spans="1:5">
      <c r="A46" t="s">
        <v>162</v>
      </c>
      <c r="B46" s="15">
        <f>10*10^-3</f>
        <v>0.01</v>
      </c>
      <c r="C46" s="16" t="s">
        <v>35</v>
      </c>
      <c r="E46" t="s">
        <v>163</v>
      </c>
    </row>
    <row r="47" customFormat="1" spans="1:5">
      <c r="A47" t="s">
        <v>164</v>
      </c>
      <c r="B47" s="10">
        <v>0.2</v>
      </c>
      <c r="C47" s="16"/>
      <c r="E47" t="s">
        <v>165</v>
      </c>
    </row>
    <row r="48" spans="1:5">
      <c r="B48" t="s">
        <v>166</v>
      </c>
    </row>
    <row r="49" customFormat="1" spans="1:5">
      <c r="A49" s="17" t="s">
        <v>167</v>
      </c>
    </row>
    <row r="50" customFormat="1"/>
    <row r="51" customFormat="1" spans="1:5">
      <c r="A51" s="130" t="s">
        <v>168</v>
      </c>
    </row>
    <row r="52" customFormat="1" spans="1:5">
      <c r="A52" t="s">
        <v>169</v>
      </c>
      <c r="B52">
        <v>1</v>
      </c>
      <c r="E52" t="s">
        <v>170</v>
      </c>
    </row>
    <row r="53" customFormat="1" spans="1:5">
      <c r="A53" t="s">
        <v>171</v>
      </c>
      <c r="B53" s="131">
        <f>IF(B52=0,SQRT((2*IOUT*Lm*Fsw*VOUT/(VIN_min^2))),(VOUT/(VIN_min+VOUT)))</f>
        <v>0.869565217391304</v>
      </c>
      <c r="E53" t="s">
        <v>172</v>
      </c>
    </row>
    <row r="54" customFormat="1" spans="1:5">
      <c r="B54" s="11">
        <f>B53/Fsw</f>
        <v>1.24223602484472e-6</v>
      </c>
      <c r="C54" t="s">
        <v>173</v>
      </c>
      <c r="E54" t="s">
        <v>174</v>
      </c>
    </row>
    <row r="55" customFormat="1" spans="1:5">
      <c r="A55" s="132" t="s">
        <v>175</v>
      </c>
      <c r="B55" s="133"/>
    </row>
    <row r="56" customFormat="1" spans="1:5">
      <c r="A56" t="s">
        <v>176</v>
      </c>
      <c r="B56" s="90">
        <f>(VOUT*IOUT)/(VIN_min)</f>
        <v>6.66666666666667</v>
      </c>
      <c r="C56" t="s">
        <v>12</v>
      </c>
      <c r="E56" t="s">
        <v>177</v>
      </c>
    </row>
    <row r="57" customFormat="1" spans="1:5">
      <c r="A57" t="s">
        <v>178</v>
      </c>
      <c r="B57" s="88">
        <f>(VIN_min*Dc_VIN_min)/(Lm_A*Fsw)</f>
        <v>0.372670807453416</v>
      </c>
      <c r="C57" t="s">
        <v>12</v>
      </c>
      <c r="E57" t="s">
        <v>179</v>
      </c>
    </row>
    <row r="58" spans="1:5">
      <c r="A58" t="s">
        <v>180</v>
      </c>
      <c r="B58" s="88">
        <f>IF(B52=0,(VIN_min*Dc_VIN_min)/(Lm*Fsw),(ILA_avg_VIN_min/EFF_est)+(ILArip_VINmin/2))</f>
        <v>6.85300207039337</v>
      </c>
      <c r="C58" t="s">
        <v>12</v>
      </c>
      <c r="E58" t="s">
        <v>181</v>
      </c>
    </row>
    <row r="59" customFormat="1" spans="1:5">
      <c r="B59" s="11"/>
    </row>
    <row r="60" customFormat="1" spans="1:5">
      <c r="A60" s="132" t="s">
        <v>182</v>
      </c>
      <c r="B60" s="11"/>
      <c r="E60" t="s">
        <v>183</v>
      </c>
    </row>
    <row r="61" customFormat="1" spans="1:5">
      <c r="A61" t="s">
        <v>184</v>
      </c>
      <c r="B61" s="11">
        <f>IOUT</f>
        <v>1</v>
      </c>
      <c r="C61" t="s">
        <v>12</v>
      </c>
    </row>
    <row r="62" customFormat="1" spans="1:5">
      <c r="A62" t="s">
        <v>185</v>
      </c>
      <c r="B62" s="11">
        <f>(VIN_min*Dc_VIN_min)/(Lm*Fsw)</f>
        <v>0.372670807453416</v>
      </c>
      <c r="C62" t="s">
        <v>12</v>
      </c>
    </row>
    <row r="63" customFormat="1" spans="1:5">
      <c r="A63" t="s">
        <v>186</v>
      </c>
      <c r="B63" s="11">
        <f>B61+B62/2</f>
        <v>1.18633540372671</v>
      </c>
      <c r="C63" t="s">
        <v>12</v>
      </c>
    </row>
    <row r="64" customFormat="1" spans="1:5">
      <c r="B64" s="88"/>
    </row>
    <row r="65" customFormat="1" spans="1:5">
      <c r="A65" s="132" t="s">
        <v>187</v>
      </c>
      <c r="B65" s="134"/>
    </row>
    <row r="66" customFormat="1" spans="1:5">
      <c r="A66" t="s">
        <v>188</v>
      </c>
      <c r="B66" s="88">
        <f>ILA_avg_VIN_min+B61+B62</f>
        <v>8.03933747412008</v>
      </c>
      <c r="C66" t="s">
        <v>12</v>
      </c>
    </row>
    <row r="67" customFormat="1" spans="1:5">
      <c r="B67" s="134"/>
    </row>
    <row r="68" customFormat="1" spans="1:5">
      <c r="A68" s="130" t="s">
        <v>107</v>
      </c>
      <c r="B68" s="13"/>
    </row>
    <row r="69" customFormat="1" spans="1:5">
      <c r="A69" t="s">
        <v>189</v>
      </c>
      <c r="B69">
        <f>IF(((VIN_nom^2)*VOUT)/(2*Fsw*Lm*((VIN_nom+VOUT)^2))&gt;IOUT,0,1)</f>
        <v>1</v>
      </c>
      <c r="E69" t="s">
        <v>190</v>
      </c>
    </row>
    <row r="70" customFormat="1" spans="1:5">
      <c r="A70" t="s">
        <v>191</v>
      </c>
      <c r="B70" s="12">
        <f>IF(B52=0,SQRT((2*IOUT*Lm*Fsw*VOUT/(VIN_nom^2))),(VOUT/(VIN_nom+VOUT)))</f>
        <v>0.843881856540084</v>
      </c>
      <c r="E70" t="s">
        <v>192</v>
      </c>
    </row>
    <row r="71" customFormat="1" spans="1:5">
      <c r="B71" s="11">
        <f>B70/Fsw</f>
        <v>1.20554550934298e-6</v>
      </c>
      <c r="C71" t="s">
        <v>173</v>
      </c>
      <c r="E71" t="s">
        <v>174</v>
      </c>
    </row>
    <row r="72" customFormat="1" spans="1:5">
      <c r="A72" s="132" t="s">
        <v>175</v>
      </c>
      <c r="B72" s="133"/>
    </row>
    <row r="73" customFormat="1" spans="1:5">
      <c r="A73" t="s">
        <v>193</v>
      </c>
      <c r="B73" s="90">
        <f>(VOUT*IOUT)/(VIN_nom)</f>
        <v>5.40540540540541</v>
      </c>
      <c r="C73" t="s">
        <v>12</v>
      </c>
      <c r="E73" t="s">
        <v>194</v>
      </c>
    </row>
    <row r="74" spans="1:5">
      <c r="A74" t="s">
        <v>195</v>
      </c>
      <c r="B74" s="88">
        <f>(VIN_nom*Dc_VIN_nom)/(Lm*Fsw)</f>
        <v>0.446051838456902</v>
      </c>
      <c r="C74" t="s">
        <v>12</v>
      </c>
      <c r="E74" t="s">
        <v>196</v>
      </c>
    </row>
    <row r="75" spans="1:5">
      <c r="A75" t="s">
        <v>197</v>
      </c>
      <c r="B75" s="88">
        <f>IF(B69=0,(VIN_nom*Dc_VIN_nom)/(Lm*Fsw),(ILA_avg_VIN_nom/EFF_est)+(ILArip_VINnom/2))</f>
        <v>5.62843132463386</v>
      </c>
      <c r="C75" t="s">
        <v>12</v>
      </c>
      <c r="E75" t="s">
        <v>198</v>
      </c>
    </row>
    <row r="76" customFormat="1" spans="1:5">
      <c r="B76" s="134"/>
    </row>
    <row r="77" customFormat="1" spans="1:5">
      <c r="A77" s="132" t="s">
        <v>182</v>
      </c>
      <c r="B77" s="133"/>
    </row>
    <row r="78" customFormat="1" spans="1:5">
      <c r="A78" t="s">
        <v>199</v>
      </c>
      <c r="B78" s="11">
        <f>IOUT</f>
        <v>1</v>
      </c>
      <c r="C78" t="s">
        <v>12</v>
      </c>
      <c r="E78" t="s">
        <v>183</v>
      </c>
    </row>
    <row r="79" customFormat="1" spans="1:5">
      <c r="A79" t="s">
        <v>200</v>
      </c>
      <c r="B79" s="11">
        <f>(VIN_nom*Dc_VIN_nom)/(Lm*Fsw)</f>
        <v>0.446051838456902</v>
      </c>
      <c r="C79" t="s">
        <v>12</v>
      </c>
    </row>
    <row r="80" customFormat="1" spans="1:5">
      <c r="A80" t="s">
        <v>201</v>
      </c>
      <c r="B80" s="11">
        <f>B78+B79/2</f>
        <v>1.22302591922845</v>
      </c>
      <c r="C80" t="s">
        <v>12</v>
      </c>
    </row>
    <row r="81" customFormat="1" spans="1:5">
      <c r="B81" s="134"/>
    </row>
    <row r="82" customFormat="1" spans="1:5">
      <c r="A82" s="132" t="s">
        <v>187</v>
      </c>
      <c r="B82" s="134"/>
    </row>
    <row r="83" customFormat="1" spans="1:5">
      <c r="A83" t="s">
        <v>202</v>
      </c>
      <c r="B83" s="88">
        <f>ILA_avg_VIN_nom+B78+B79</f>
        <v>6.85145724386231</v>
      </c>
      <c r="C83" t="s">
        <v>12</v>
      </c>
    </row>
    <row r="84" customFormat="1" spans="1:5">
      <c r="B84" s="13"/>
    </row>
    <row r="85" customFormat="1" spans="1:5">
      <c r="A85" s="130" t="s">
        <v>109</v>
      </c>
      <c r="B85" s="13"/>
    </row>
    <row r="86" customFormat="1" spans="1:5">
      <c r="A86" t="s">
        <v>203</v>
      </c>
      <c r="B86">
        <f>IF(((VIN_nom^2)*VOUT)/(2*Fsw*Lm*((VIN_nom+VOUT)^2))&gt;IOUT,0,1)</f>
        <v>1</v>
      </c>
      <c r="E86" t="s">
        <v>190</v>
      </c>
    </row>
    <row r="87" customFormat="1" spans="1:5">
      <c r="A87" t="s">
        <v>204</v>
      </c>
      <c r="B87" s="12">
        <f>IF(B86=0,SQRT((2*IOUT*Lm*Fsw*VOUT/(VIN_max^2))),(VOUT/(VIN_max+VOUT)))</f>
        <v>0.613496932515337</v>
      </c>
      <c r="E87" t="s">
        <v>205</v>
      </c>
    </row>
    <row r="88" customFormat="1" spans="1:5">
      <c r="B88" s="11">
        <f>B87/Fsw</f>
        <v>8.76424189307625e-7</v>
      </c>
      <c r="C88" t="s">
        <v>173</v>
      </c>
      <c r="E88" t="s">
        <v>174</v>
      </c>
    </row>
    <row r="89" customFormat="1" spans="1:5">
      <c r="A89" s="132" t="s">
        <v>175</v>
      </c>
      <c r="B89" s="133"/>
    </row>
    <row r="90" customFormat="1" spans="1:5">
      <c r="A90" t="s">
        <v>206</v>
      </c>
      <c r="B90" s="90">
        <f>(VOUT*IOUT)/(VIN_max)</f>
        <v>1.58730158730159</v>
      </c>
      <c r="C90" t="s">
        <v>12</v>
      </c>
      <c r="E90" t="s">
        <v>207</v>
      </c>
    </row>
    <row r="91" spans="1:5">
      <c r="A91" t="s">
        <v>208</v>
      </c>
      <c r="B91" s="88">
        <f>(VIN_max*Dc_VIN_max)/(Lm*Fsw)</f>
        <v>1.10429447852761</v>
      </c>
      <c r="C91" t="s">
        <v>12</v>
      </c>
      <c r="E91" t="s">
        <v>209</v>
      </c>
    </row>
    <row r="92" spans="1:5">
      <c r="A92" t="s">
        <v>210</v>
      </c>
      <c r="B92" s="88">
        <f>ILA_avg_VIN_max+ILArip_VINmax/2</f>
        <v>2.13944882656539</v>
      </c>
      <c r="C92" t="s">
        <v>12</v>
      </c>
      <c r="E92" t="s">
        <v>211</v>
      </c>
    </row>
    <row r="94" customFormat="1" spans="1:5">
      <c r="A94" s="132" t="s">
        <v>182</v>
      </c>
      <c r="B94" s="133"/>
      <c r="E94" t="s">
        <v>183</v>
      </c>
    </row>
    <row r="95" customFormat="1" spans="1:5">
      <c r="A95" t="s">
        <v>212</v>
      </c>
      <c r="B95" s="11">
        <f>IOUT</f>
        <v>1</v>
      </c>
      <c r="C95" t="s">
        <v>12</v>
      </c>
    </row>
    <row r="96" customFormat="1" spans="1:5">
      <c r="A96" t="s">
        <v>213</v>
      </c>
      <c r="B96" s="11">
        <f>(VIN_max*Dc_VIN_max)/(Lm*Fsw)</f>
        <v>1.10429447852761</v>
      </c>
      <c r="C96" t="s">
        <v>12</v>
      </c>
    </row>
    <row r="97" customFormat="1" spans="1:5">
      <c r="A97" t="s">
        <v>214</v>
      </c>
      <c r="B97" s="11">
        <f>B95+B96/2</f>
        <v>1.5521472392638</v>
      </c>
      <c r="C97" t="s">
        <v>12</v>
      </c>
    </row>
    <row r="98" customFormat="1" spans="1:5">
      <c r="B98" s="88"/>
    </row>
    <row r="99" customFormat="1" spans="1:5">
      <c r="A99" s="132" t="s">
        <v>187</v>
      </c>
      <c r="B99" s="134"/>
    </row>
    <row r="100" customFormat="1" spans="1:5">
      <c r="A100" t="s">
        <v>215</v>
      </c>
      <c r="B100" s="88">
        <f>ILA_avg_VIN_max+B95+B96</f>
        <v>3.69159606582919</v>
      </c>
      <c r="C100" t="s">
        <v>12</v>
      </c>
    </row>
    <row r="101" customFormat="1" spans="1:5">
      <c r="B101" s="134"/>
    </row>
    <row r="102" spans="1:5">
      <c r="A102" s="122" t="s">
        <v>216</v>
      </c>
    </row>
    <row r="103" spans="1:5">
      <c r="A103" t="s">
        <v>217</v>
      </c>
      <c r="B103" s="15">
        <f>'Design Converter'!H26/100</f>
        <v>0.3</v>
      </c>
      <c r="E103" t="s">
        <v>218</v>
      </c>
    </row>
    <row r="104" spans="1:5">
      <c r="A104" t="s">
        <v>219</v>
      </c>
      <c r="B104" s="90">
        <f>(1+Ipk_margin)*ISW_peak_VIN_min</f>
        <v>10.4511387163561</v>
      </c>
      <c r="C104" t="s">
        <v>12</v>
      </c>
      <c r="E104" t="s">
        <v>220</v>
      </c>
    </row>
    <row r="105" customFormat="1" spans="1:5">
      <c r="B105" s="135"/>
    </row>
    <row r="106" customFormat="1" spans="1:5">
      <c r="A106" t="s">
        <v>221</v>
      </c>
      <c r="B106" s="10">
        <v>0.6</v>
      </c>
      <c r="E106" t="s">
        <v>222</v>
      </c>
    </row>
    <row r="107" spans="1:5">
      <c r="A107" t="s">
        <v>223</v>
      </c>
      <c r="B107" s="124">
        <f>(1/B106)*((Fsw*Isl*Rsl_int*Lm)/(VOUT))</f>
        <v>0.0501666666666667</v>
      </c>
      <c r="C107" s="16" t="s">
        <v>35</v>
      </c>
      <c r="E107" t="s">
        <v>224</v>
      </c>
    </row>
    <row r="108" spans="1:5">
      <c r="A108" t="s">
        <v>225</v>
      </c>
      <c r="B108" s="124">
        <f>Vcl/Ipk_selected</f>
        <v>0.0149266031419006</v>
      </c>
      <c r="C108" s="16" t="s">
        <v>35</v>
      </c>
      <c r="E108" t="s">
        <v>226</v>
      </c>
    </row>
    <row r="109" customFormat="1" spans="1:5">
      <c r="B109" s="13"/>
    </row>
    <row r="110" customFormat="1" spans="1:5">
      <c r="A110" t="s">
        <v>227</v>
      </c>
      <c r="B110" s="10">
        <v>0.833</v>
      </c>
      <c r="E110" t="s">
        <v>228</v>
      </c>
    </row>
    <row r="111" spans="1:5">
      <c r="A111" t="s">
        <v>229</v>
      </c>
      <c r="B111" s="136">
        <f>(Lm*Fsw*(Vcl+(Dc_VIN_min*Isl*Rsl_int)))/((Dc_VIN_min*Kslope*VOUT)+(Ipk_selected*Lm*Fsw))</f>
        <v>0.0184320793716412</v>
      </c>
      <c r="C111" s="16" t="s">
        <v>35</v>
      </c>
      <c r="E111" t="s">
        <v>230</v>
      </c>
    </row>
    <row r="112" spans="1:5">
      <c r="A112" t="s">
        <v>231</v>
      </c>
      <c r="B112" s="88">
        <f>(Vcl-(Ipk_selected*Rcs_w_sl))/(Isl*Dc_VIN_min)</f>
        <v>-979.805839430093</v>
      </c>
      <c r="C112" s="16" t="s">
        <v>35</v>
      </c>
      <c r="E112" t="s">
        <v>232</v>
      </c>
    </row>
    <row r="114" spans="1:11">
      <c r="A114" t="s">
        <v>233</v>
      </c>
      <c r="B114" s="12">
        <f>IF(Rcs_wo_sl&gt;Rcs_max,1,0)</f>
        <v>0</v>
      </c>
      <c r="E114" t="s">
        <v>234</v>
      </c>
    </row>
    <row r="115" spans="1:11">
      <c r="A115" t="s">
        <v>235</v>
      </c>
      <c r="B115" s="137">
        <f>IF(B52=0,Rcs_wo_sl,IF(B114=0,Rcs_wo_sl,Rcs_w_sl))</f>
        <v>0.0149266031419006</v>
      </c>
      <c r="C115" s="16" t="s">
        <v>35</v>
      </c>
      <c r="E115" t="s">
        <v>236</v>
      </c>
    </row>
    <row r="116" spans="1:11">
      <c r="A116" t="s">
        <v>237</v>
      </c>
      <c r="B116" s="12">
        <f>IF(B52=0,0,IF(B114=0,0,B112))</f>
        <v>0</v>
      </c>
      <c r="C116" s="16" t="s">
        <v>35</v>
      </c>
      <c r="E116" t="s">
        <v>238</v>
      </c>
    </row>
    <row r="118" spans="1:11">
      <c r="A118" t="s">
        <v>239</v>
      </c>
      <c r="B118" s="138">
        <f>'Design Converter'!H30/1000</f>
        <v>0.01</v>
      </c>
      <c r="C118" s="16" t="s">
        <v>35</v>
      </c>
      <c r="E118" t="s">
        <v>240</v>
      </c>
    </row>
    <row r="119" spans="1:11">
      <c r="A119" t="s">
        <v>241</v>
      </c>
      <c r="B119" s="15">
        <f>'Design Converter'!H31</f>
        <v>0</v>
      </c>
      <c r="C119" s="16" t="s">
        <v>35</v>
      </c>
      <c r="E119" t="s">
        <v>242</v>
      </c>
    </row>
    <row r="121" spans="1:11">
      <c r="A121" t="s">
        <v>243</v>
      </c>
      <c r="B121" s="12">
        <f>(Isl*(Rsl_int+R_sl)*Fsw)/(((VOUT-VIN_min)/Lm)*R_cs)</f>
        <v>3.54117647058824</v>
      </c>
      <c r="C121" t="s">
        <v>244</v>
      </c>
      <c r="E121" t="s">
        <v>245</v>
      </c>
      <c r="K121">
        <f>IF(B69=0,0,IF(B121&lt;0.5,1,0))</f>
        <v>0</v>
      </c>
    </row>
    <row r="122" customFormat="1" spans="1:11">
      <c r="A122" t="s">
        <v>246</v>
      </c>
      <c r="B122" s="90">
        <f>(Vcl-(Isl*R_sl*Dc_VIN_min))/R_cs</f>
        <v>15.6</v>
      </c>
      <c r="C122" t="s">
        <v>12</v>
      </c>
      <c r="E122" t="s">
        <v>247</v>
      </c>
      <c r="K122">
        <f>IF(IL_pk&lt;Ipk_selected,1,0)</f>
        <v>0</v>
      </c>
    </row>
    <row r="123" spans="1:11">
      <c r="A123" t="s">
        <v>248</v>
      </c>
      <c r="B123" s="90">
        <f>(Vcl-(Isl*R_sl*Dc_VIN_max))/R_cs</f>
        <v>15.6</v>
      </c>
      <c r="C123" t="s">
        <v>12</v>
      </c>
      <c r="E123" t="s">
        <v>249</v>
      </c>
    </row>
    <row r="124" spans="1:11">
      <c r="A124" t="s">
        <v>250</v>
      </c>
      <c r="B124" s="12">
        <f>0.15</f>
        <v>0.15</v>
      </c>
      <c r="E124" t="s">
        <v>251</v>
      </c>
    </row>
    <row r="125" spans="1:11">
      <c r="A125" t="s">
        <v>252</v>
      </c>
      <c r="B125" s="88">
        <f>(1+B124)*B123</f>
        <v>17.94</v>
      </c>
      <c r="C125" t="s">
        <v>12</v>
      </c>
      <c r="E125" t="s">
        <v>253</v>
      </c>
    </row>
    <row r="127" spans="1:11">
      <c r="A127" s="130" t="s">
        <v>254</v>
      </c>
    </row>
    <row r="129" customFormat="1" spans="1:5">
      <c r="A129" s="139" t="s">
        <v>255</v>
      </c>
    </row>
    <row r="130" customFormat="1" spans="1:5">
      <c r="A130" t="s">
        <v>256</v>
      </c>
      <c r="B130" s="10">
        <v>0.05</v>
      </c>
    </row>
    <row r="131" customFormat="1" spans="1:5">
      <c r="A131" t="s">
        <v>257</v>
      </c>
      <c r="B131" s="12">
        <f>IOUT*Dc_VIN_min/(VIN_max*VCrr*Fsw)</f>
        <v>1.97180321403924e-6</v>
      </c>
      <c r="C131" t="s">
        <v>258</v>
      </c>
      <c r="E131" t="s">
        <v>259</v>
      </c>
    </row>
    <row r="132" customFormat="1" spans="1:5">
      <c r="A132" t="s">
        <v>260</v>
      </c>
      <c r="B132" s="85">
        <f>'Design Converter'!H36*(10^-6)</f>
        <v>1e-5</v>
      </c>
      <c r="C132" t="s">
        <v>258</v>
      </c>
      <c r="E132" t="s">
        <v>261</v>
      </c>
    </row>
    <row r="133" customFormat="1" spans="1:5">
      <c r="A133" t="s">
        <v>262</v>
      </c>
      <c r="B133" s="90">
        <f>(IOUT*Dc_VIN_min)/(Cac*Fsw)</f>
        <v>0.124223602484472</v>
      </c>
      <c r="C133" t="s">
        <v>7</v>
      </c>
      <c r="E133" t="s">
        <v>263</v>
      </c>
    </row>
    <row r="134" customFormat="1" spans="1:5">
      <c r="A134" t="s">
        <v>264</v>
      </c>
      <c r="B134" s="90">
        <f>IOUT*SQRT(VOUT/VIN_min)</f>
        <v>2.58198889747161</v>
      </c>
      <c r="C134" t="s">
        <v>12</v>
      </c>
      <c r="E134" t="s">
        <v>265</v>
      </c>
    </row>
    <row r="135" customFormat="1"/>
    <row r="137" spans="1:5">
      <c r="A137" s="139" t="s">
        <v>44</v>
      </c>
      <c r="E137" t="s">
        <v>266</v>
      </c>
    </row>
    <row r="139" customFormat="1" spans="1:5">
      <c r="A139" t="s">
        <v>267</v>
      </c>
      <c r="B139" s="12">
        <f>IF(B52=0,Fsw/20,(((VOUT/IOUT)*((1-Dc_VIN_min)^2))/(Lm*Dc_VIN_min))/6)</f>
        <v>6521.73913043478</v>
      </c>
      <c r="C139" t="s">
        <v>268</v>
      </c>
      <c r="E139" t="s">
        <v>269</v>
      </c>
    </row>
    <row r="140" spans="1:5">
      <c r="A140" t="s">
        <v>270</v>
      </c>
      <c r="B140" s="85">
        <f>'Design Converter'!H40/1000</f>
        <v>0.5</v>
      </c>
      <c r="C140" t="s">
        <v>7</v>
      </c>
      <c r="E140" t="s">
        <v>271</v>
      </c>
    </row>
    <row r="141" customFormat="1" spans="1:5">
      <c r="A141" t="s">
        <v>272</v>
      </c>
      <c r="B141" s="12">
        <f>IOUT-0.5*IOUT</f>
        <v>0.5</v>
      </c>
      <c r="C141" t="s">
        <v>12</v>
      </c>
    </row>
    <row r="142" spans="1:5">
      <c r="A142" t="s">
        <v>273</v>
      </c>
      <c r="B142" s="12">
        <f>B141/(Vout_rip_sel*B139)</f>
        <v>0.000153333333333333</v>
      </c>
      <c r="C142" t="s">
        <v>258</v>
      </c>
      <c r="E142" t="s">
        <v>274</v>
      </c>
    </row>
    <row r="143" spans="1:5">
      <c r="A143" t="s">
        <v>275</v>
      </c>
      <c r="B143" s="88">
        <f>IOUT*SQRT(VOUT/VIN_min)</f>
        <v>2.58198889747161</v>
      </c>
      <c r="C143" t="s">
        <v>12</v>
      </c>
      <c r="E143" t="s">
        <v>276</v>
      </c>
    </row>
    <row r="144" spans="1:5">
      <c r="A144" t="s">
        <v>277</v>
      </c>
      <c r="B144" s="15">
        <f>'Design Converter'!H43*(10^-6)</f>
        <v>0.00056</v>
      </c>
      <c r="C144" t="s">
        <v>258</v>
      </c>
      <c r="E144" t="s">
        <v>278</v>
      </c>
    </row>
    <row r="145" spans="1:6">
      <c r="A145" t="s">
        <v>279</v>
      </c>
      <c r="B145" s="15">
        <f>'Design Converter'!H44/1000</f>
        <v>0.028</v>
      </c>
      <c r="C145" s="16" t="s">
        <v>35</v>
      </c>
      <c r="E145" t="s">
        <v>280</v>
      </c>
    </row>
    <row r="146" customFormat="1"/>
    <row r="147" customFormat="1" spans="1:6">
      <c r="A147" s="139" t="s">
        <v>281</v>
      </c>
    </row>
    <row r="148" customFormat="1" spans="1:6">
      <c r="A148" t="s">
        <v>282</v>
      </c>
      <c r="B148" s="10">
        <f>Iss</f>
        <v>4</v>
      </c>
      <c r="C148" t="s">
        <v>283</v>
      </c>
      <c r="E148" t="s">
        <v>284</v>
      </c>
    </row>
    <row r="149" customFormat="1" spans="1:6">
      <c r="A149" s="140"/>
      <c r="B149" s="140"/>
      <c r="C149" s="140"/>
      <c r="D149" s="140"/>
      <c r="E149" s="140"/>
      <c r="F149" s="140"/>
    </row>
    <row r="150" customFormat="1" spans="1:6">
      <c r="A150" s="140"/>
      <c r="B150" s="140"/>
      <c r="C150" s="140"/>
      <c r="D150" s="140"/>
      <c r="E150" s="140"/>
      <c r="F150" s="140"/>
    </row>
    <row r="151" customFormat="1" spans="1:6">
      <c r="A151" s="140"/>
      <c r="B151" s="140"/>
      <c r="C151" s="140"/>
      <c r="D151" s="140"/>
      <c r="E151" s="140"/>
      <c r="F151" s="140"/>
    </row>
    <row r="152" customFormat="1"/>
    <row r="153" customFormat="1" spans="1:6">
      <c r="A153" s="139" t="s">
        <v>285</v>
      </c>
    </row>
    <row r="154" customFormat="1" spans="1:6">
      <c r="A154" s="13" t="s">
        <v>286</v>
      </c>
      <c r="B154" s="13"/>
      <c r="C154" s="13"/>
      <c r="D154" s="13"/>
      <c r="E154" s="13"/>
    </row>
    <row r="155" customFormat="1" spans="1:6">
      <c r="A155" s="13"/>
      <c r="B155" s="13"/>
      <c r="C155" s="13"/>
      <c r="D155" s="13"/>
      <c r="E155" s="13"/>
    </row>
    <row r="156" customFormat="1" spans="1:6">
      <c r="A156" s="13"/>
      <c r="B156" s="13"/>
      <c r="C156" s="13"/>
      <c r="D156" s="13"/>
      <c r="E156" s="13"/>
    </row>
    <row r="157" customFormat="1" spans="1:6">
      <c r="A157" s="13"/>
      <c r="B157" s="13"/>
      <c r="C157" s="13"/>
      <c r="D157" s="13"/>
      <c r="E157" s="13"/>
    </row>
    <row r="158" customFormat="1" spans="1:6">
      <c r="A158" s="13"/>
      <c r="B158" s="13"/>
      <c r="C158" s="13"/>
      <c r="D158" s="13"/>
      <c r="E158" s="13"/>
    </row>
    <row r="159" customFormat="1" spans="1:6">
      <c r="A159" s="13"/>
      <c r="B159" s="141"/>
      <c r="C159" s="142"/>
      <c r="D159" s="13"/>
      <c r="E159" s="13"/>
    </row>
    <row r="160" customFormat="1" spans="1:6">
      <c r="A160" s="13"/>
      <c r="B160" s="13"/>
      <c r="C160" s="142"/>
      <c r="D160" s="13"/>
      <c r="E160" s="13"/>
    </row>
    <row r="161" customFormat="1" spans="1:5">
      <c r="A161" s="13"/>
      <c r="B161" s="141"/>
      <c r="C161" s="142"/>
      <c r="D161" s="13"/>
      <c r="E161" s="13"/>
    </row>
    <row r="162" customFormat="1" spans="1:5">
      <c r="A162" s="13"/>
      <c r="B162" s="135"/>
      <c r="C162" s="13"/>
      <c r="D162" s="13"/>
      <c r="E162" s="13"/>
    </row>
    <row r="163" customFormat="1" spans="1:5">
      <c r="A163" s="13"/>
      <c r="B163" s="135"/>
      <c r="C163" s="13"/>
      <c r="D163" s="13"/>
      <c r="E163" s="13"/>
    </row>
    <row r="164" customFormat="1"/>
    <row r="165" customFormat="1"/>
    <row r="166" spans="1:5">
      <c r="A166" s="139" t="s">
        <v>287</v>
      </c>
    </row>
    <row r="167" customFormat="1" spans="1:5">
      <c r="A167" s="143" t="s">
        <v>288</v>
      </c>
      <c r="B167" s="15" t="str">
        <f>'Design Converter'!H59</f>
        <v>4V</v>
      </c>
      <c r="C167" t="s">
        <v>7</v>
      </c>
      <c r="E167" t="s">
        <v>289</v>
      </c>
    </row>
    <row r="168" customFormat="1" spans="1:5">
      <c r="A168" s="143"/>
      <c r="B168" s="13"/>
    </row>
    <row r="169" spans="1:5">
      <c r="A169" s="17" t="s">
        <v>290</v>
      </c>
    </row>
    <row r="170" customFormat="1" spans="1:5">
      <c r="A170" t="s">
        <v>291</v>
      </c>
      <c r="B170" s="15">
        <f>'Design Converter'!H62*(10^3)</f>
        <v>15000</v>
      </c>
      <c r="C170" s="16" t="s">
        <v>35</v>
      </c>
      <c r="E170" t="s">
        <v>292</v>
      </c>
    </row>
    <row r="171" customFormat="1" spans="1:5">
      <c r="A171" t="s">
        <v>293</v>
      </c>
      <c r="B171" s="89">
        <f>(RFBT*Vref)/(VOUT-Vref)</f>
        <v>1008.537886873</v>
      </c>
      <c r="C171" s="16" t="s">
        <v>35</v>
      </c>
      <c r="E171" t="s">
        <v>294</v>
      </c>
    </row>
    <row r="172" spans="1:5">
      <c r="A172" t="s">
        <v>295</v>
      </c>
      <c r="B172" s="15">
        <f>'Design Converter'!H64*(10^3)</f>
        <v>1010</v>
      </c>
      <c r="C172" s="16" t="s">
        <v>35</v>
      </c>
      <c r="E172" t="s">
        <v>296</v>
      </c>
    </row>
    <row r="173" spans="1:5">
      <c r="A173" t="s">
        <v>297</v>
      </c>
      <c r="B173" s="12">
        <f>VOUT/(RFBB+RFBT)</f>
        <v>0.00124921923797626</v>
      </c>
      <c r="C173" s="16" t="s">
        <v>12</v>
      </c>
      <c r="E173" t="s">
        <v>298</v>
      </c>
    </row>
    <row r="174" customFormat="1" spans="1:5">
      <c r="B174" s="13"/>
      <c r="C174" s="16"/>
    </row>
    <row r="175" customFormat="1" spans="1:5">
      <c r="A175" s="17" t="s">
        <v>299</v>
      </c>
      <c r="E175" t="s">
        <v>300</v>
      </c>
    </row>
    <row r="176" customFormat="1"/>
    <row r="177" customFormat="1" spans="1:5">
      <c r="A177" s="130" t="s">
        <v>301</v>
      </c>
    </row>
    <row r="178" customFormat="1" spans="1:5">
      <c r="A178" t="s">
        <v>302</v>
      </c>
      <c r="B178">
        <f>(Gcomp*(VOUT/IOUT)*(1-Dc_VIN_min))/(R_cs*Acs*(1+Dc_VIN_min))</f>
        <v>125.581395348837</v>
      </c>
    </row>
    <row r="179" customFormat="1"/>
    <row r="180" customFormat="1" spans="1:5">
      <c r="A180" t="s">
        <v>303</v>
      </c>
      <c r="B180" s="10">
        <f>(1+Dc_VIN_min)/(Cout*(VOUT/IOUT))</f>
        <v>166.925465838509</v>
      </c>
      <c r="C180" t="s">
        <v>304</v>
      </c>
      <c r="E180" t="s">
        <v>305</v>
      </c>
    </row>
    <row r="181" customFormat="1" spans="1:5">
      <c r="A181" t="s">
        <v>306</v>
      </c>
      <c r="B181" s="12">
        <f>B180/(2*PI())</f>
        <v>26.5670130161161</v>
      </c>
      <c r="C181" t="s">
        <v>111</v>
      </c>
      <c r="E181" t="s">
        <v>307</v>
      </c>
    </row>
    <row r="182" customFormat="1" spans="1:5">
      <c r="B182" s="13"/>
    </row>
    <row r="183" customFormat="1" spans="1:5">
      <c r="A183" t="s">
        <v>308</v>
      </c>
      <c r="B183" s="10">
        <f>1/(Cout*Resr)</f>
        <v>63775.5102040816</v>
      </c>
      <c r="C183" t="s">
        <v>309</v>
      </c>
      <c r="E183" t="s">
        <v>310</v>
      </c>
    </row>
    <row r="184" customFormat="1" spans="1:5">
      <c r="A184" t="s">
        <v>311</v>
      </c>
      <c r="B184" s="12">
        <f>B183/(2*PI())</f>
        <v>10150.1876971872</v>
      </c>
      <c r="C184" t="s">
        <v>111</v>
      </c>
      <c r="E184" t="s">
        <v>312</v>
      </c>
    </row>
    <row r="185" customFormat="1" spans="1:5">
      <c r="B185" s="13"/>
    </row>
    <row r="186" customFormat="1" spans="1:5">
      <c r="A186" t="s">
        <v>313</v>
      </c>
      <c r="B186" s="10">
        <f>((VOUT/IOUT)*((1-Dc_VIN_min)^2))/(Lm*Dc_VIN_min)</f>
        <v>39130.4347826087</v>
      </c>
      <c r="E186" t="s">
        <v>314</v>
      </c>
    </row>
    <row r="187" customFormat="1" spans="1:5">
      <c r="A187" t="s">
        <v>315</v>
      </c>
      <c r="B187" s="89">
        <f>B186/(2*PI())</f>
        <v>6227.80212098721</v>
      </c>
      <c r="C187" t="s">
        <v>111</v>
      </c>
      <c r="E187" t="s">
        <v>316</v>
      </c>
    </row>
    <row r="188" customFormat="1" spans="1:5">
      <c r="B188" s="13">
        <f>Fsw/10</f>
        <v>70000</v>
      </c>
      <c r="C188" t="s">
        <v>111</v>
      </c>
      <c r="E188" t="s">
        <v>317</v>
      </c>
    </row>
    <row r="189" customFormat="1" spans="1:5">
      <c r="B189">
        <f>IF((B187/5)&lt;(B188),0,1)</f>
        <v>0</v>
      </c>
      <c r="E189" t="s">
        <v>318</v>
      </c>
    </row>
    <row r="190" customFormat="1"/>
    <row r="191" customFormat="1" spans="1:5">
      <c r="A191" t="s">
        <v>319</v>
      </c>
      <c r="B191" s="12">
        <f>(Isl*(Rsl_int+R_sl)*Fsw)</f>
        <v>60200</v>
      </c>
      <c r="C191" t="s">
        <v>244</v>
      </c>
      <c r="E191" t="s">
        <v>320</v>
      </c>
    </row>
    <row r="192" customFormat="1" spans="1:5">
      <c r="A192" t="s">
        <v>321</v>
      </c>
      <c r="B192" s="12">
        <f>(R_cs*VIN_min*Acs)/Lm</f>
        <v>3000</v>
      </c>
      <c r="C192" t="s">
        <v>244</v>
      </c>
      <c r="E192" t="s">
        <v>322</v>
      </c>
    </row>
    <row r="193" customFormat="1" spans="1:5">
      <c r="B193" s="12"/>
    </row>
    <row r="194" customFormat="1" spans="1:5">
      <c r="A194" t="s">
        <v>323</v>
      </c>
      <c r="B194" s="12">
        <f>2*PI()*Fsw</f>
        <v>4398229.71502571</v>
      </c>
      <c r="C194" t="s">
        <v>324</v>
      </c>
    </row>
    <row r="195" customFormat="1" spans="1:5">
      <c r="A195" t="s">
        <v>325</v>
      </c>
      <c r="B195" s="12">
        <f>1/(PI()*(((1-Dc_VIN_min)*(1+(B191/B192)))-0.5))</f>
        <v>0.141607879733601</v>
      </c>
    </row>
    <row r="196" customFormat="1" spans="1:5">
      <c r="E196">
        <f>fcross</f>
        <v>700</v>
      </c>
    </row>
    <row r="197" customFormat="1" spans="1:5">
      <c r="B197" s="13"/>
    </row>
    <row r="198" customFormat="1" spans="1:5">
      <c r="A198" t="s">
        <v>326</v>
      </c>
      <c r="B198" s="90">
        <f>IF(B189=0,fz_rhp/6,Fsw/10)</f>
        <v>1037.96702016454</v>
      </c>
      <c r="C198" t="s">
        <v>111</v>
      </c>
      <c r="E198" t="s">
        <v>327</v>
      </c>
    </row>
    <row r="199" customFormat="1"/>
    <row r="200" customFormat="1"/>
    <row r="201" customFormat="1" spans="1:5">
      <c r="A201" t="s">
        <v>328</v>
      </c>
      <c r="B201" s="144">
        <f>SQRT(B181*fcross)</f>
        <v>136.370484751215</v>
      </c>
      <c r="C201" t="s">
        <v>111</v>
      </c>
      <c r="E201" t="s">
        <v>329</v>
      </c>
    </row>
    <row r="202" customFormat="1" spans="1:5">
      <c r="A202" t="s">
        <v>330</v>
      </c>
      <c r="B202" s="145">
        <f>fz_rhp</f>
        <v>6227.80212098721</v>
      </c>
      <c r="C202" t="s">
        <v>111</v>
      </c>
      <c r="E202" t="s">
        <v>331</v>
      </c>
    </row>
    <row r="203" customFormat="1" spans="1:5">
      <c r="A203" t="s">
        <v>332</v>
      </c>
      <c r="B203" s="15">
        <f>fcross</f>
        <v>700</v>
      </c>
      <c r="C203" t="s">
        <v>111</v>
      </c>
      <c r="E203" t="s">
        <v>333</v>
      </c>
    </row>
    <row r="204" customFormat="1"/>
    <row r="205" customFormat="1"/>
    <row r="206" customFormat="1" spans="1:5">
      <c r="A206" t="s">
        <v>334</v>
      </c>
      <c r="B206" s="90">
        <f>(2*PI()*Acs*Cout*R_cs*VOUT*fcross)/(Gcomp*Vref*gm_ea*(1-Dc_VIN_min))</f>
        <v>4162.93347512721</v>
      </c>
      <c r="C206" s="16" t="s">
        <v>35</v>
      </c>
      <c r="E206" t="s">
        <v>335</v>
      </c>
    </row>
    <row r="207" customFormat="1" spans="1:5">
      <c r="A207" t="s">
        <v>336</v>
      </c>
      <c r="B207" s="11">
        <f>1/(2*PI()*fz_ea_est*Rcomp_calc_CCM)</f>
        <v>2.80349816761115e-7</v>
      </c>
      <c r="C207" s="16" t="s">
        <v>258</v>
      </c>
      <c r="E207" t="s">
        <v>337</v>
      </c>
    </row>
    <row r="208" customFormat="1" spans="1:5">
      <c r="A208" t="s">
        <v>338</v>
      </c>
      <c r="B208" s="146">
        <f>(IOUT*Lm)/(Rcomp_calc_CCM*((1-Dc_VIN_min)^2)*(VIN_min+VOUT))</f>
        <v>6.13883351925882e-9</v>
      </c>
      <c r="C208" t="s">
        <v>258</v>
      </c>
      <c r="E208" t="s">
        <v>339</v>
      </c>
    </row>
    <row r="211" spans="1:5">
      <c r="A211" s="130" t="s">
        <v>340</v>
      </c>
      <c r="E211" s="17" t="s">
        <v>341</v>
      </c>
    </row>
    <row r="212" customFormat="1"/>
    <row r="213" customFormat="1" spans="1:5">
      <c r="A213" t="s">
        <v>342</v>
      </c>
      <c r="B213">
        <f>Fsw/((R_cs*Acs*(VIN_min/Lm))+((R_sl+Rsl_int)*Isl))</f>
        <v>233.326644636187</v>
      </c>
      <c r="C213" t="s">
        <v>244</v>
      </c>
      <c r="E213" t="s">
        <v>343</v>
      </c>
    </row>
    <row r="214" customFormat="1" spans="1:5">
      <c r="A214" t="s">
        <v>344</v>
      </c>
      <c r="B214">
        <f>(B213*2*VOUT/Dc_VIN_min)*(((VOUT/VIN_min)-1)/((2*VOUT/VIN_min)-1))</f>
        <v>4931.39016501347</v>
      </c>
      <c r="C214" t="s">
        <v>244</v>
      </c>
    </row>
    <row r="215" customFormat="1" spans="1:5">
      <c r="A215" t="s">
        <v>345</v>
      </c>
      <c r="B215">
        <f>(IOUT*((2*VOUT)-VIN_min))/(Cout*VOUT*(VOUT-VIN_min))</f>
        <v>194.327731092437</v>
      </c>
      <c r="C215" t="s">
        <v>304</v>
      </c>
    </row>
    <row r="216" customFormat="1" spans="1:5">
      <c r="B216">
        <f>B215/(2*PI())</f>
        <v>30.928218983194</v>
      </c>
      <c r="C216" t="s">
        <v>111</v>
      </c>
    </row>
    <row r="217" customFormat="1" spans="1:5">
      <c r="A217" t="s">
        <v>346</v>
      </c>
      <c r="B217">
        <f>1/(Cout*Resr)</f>
        <v>63775.5102040816</v>
      </c>
      <c r="C217" t="s">
        <v>304</v>
      </c>
    </row>
    <row r="218" customFormat="1" spans="1:5">
      <c r="B218">
        <f>B217/(2*PI())</f>
        <v>10150.1876971872</v>
      </c>
      <c r="C218" t="s">
        <v>111</v>
      </c>
    </row>
    <row r="219" customFormat="1" spans="1:5">
      <c r="A219" t="s">
        <v>347</v>
      </c>
      <c r="B219">
        <f>2*Fsw/(Dc_VIN_min)</f>
        <v>1610000</v>
      </c>
      <c r="C219" t="s">
        <v>304</v>
      </c>
      <c r="E219" t="s">
        <v>348</v>
      </c>
    </row>
    <row r="220" customFormat="1" spans="1:5">
      <c r="B220">
        <f>B219/(2*PI())</f>
        <v>256239.458377951</v>
      </c>
      <c r="C220" t="s">
        <v>111</v>
      </c>
    </row>
    <row r="221" customFormat="1"/>
    <row r="222" customFormat="1" spans="1:5">
      <c r="A222" t="s">
        <v>349</v>
      </c>
      <c r="B222">
        <f>2*Fsw/(2*PI()*Dc_VIN_min*5)</f>
        <v>51247.8916755903</v>
      </c>
      <c r="C222" t="s">
        <v>111</v>
      </c>
      <c r="E222" t="s">
        <v>350</v>
      </c>
    </row>
    <row r="223" customFormat="1" spans="1:5">
      <c r="B223">
        <f>20*LOG(Gcomp*B214*(B215/(2*PI())))</f>
        <v>102.75133571581</v>
      </c>
      <c r="E223" t="s">
        <v>351</v>
      </c>
    </row>
    <row r="224" customFormat="1" spans="1:5">
      <c r="A224" t="s">
        <v>332</v>
      </c>
      <c r="B224" s="15">
        <f>fcross</f>
        <v>700</v>
      </c>
      <c r="C224" t="s">
        <v>111</v>
      </c>
      <c r="E224" t="s">
        <v>352</v>
      </c>
    </row>
    <row r="225" customFormat="1" spans="1:5">
      <c r="B225" s="13"/>
    </row>
    <row r="226" customFormat="1" spans="1:5">
      <c r="B226" s="13"/>
    </row>
    <row r="227" customFormat="1" spans="1:5">
      <c r="A227" t="s">
        <v>353</v>
      </c>
      <c r="B227">
        <f>(2*PI()*VOUT*fcross)/(Gcomp*Vref*gm_ea*B215*B214)</f>
        <v>101.181407812534</v>
      </c>
      <c r="C227" t="s">
        <v>354</v>
      </c>
      <c r="E227" t="s">
        <v>335</v>
      </c>
    </row>
    <row r="228" customFormat="1" spans="1:5">
      <c r="A228" t="s">
        <v>355</v>
      </c>
      <c r="B228">
        <f>1/(2*PI()*SQRT(fcross*(B215/(2*PI())))*B227)</f>
        <v>1.06903749568138e-5</v>
      </c>
      <c r="C228" t="s">
        <v>258</v>
      </c>
      <c r="E228" t="s">
        <v>337</v>
      </c>
    </row>
    <row r="229" customFormat="1" spans="1:5">
      <c r="A229" t="s">
        <v>356</v>
      </c>
      <c r="B229">
        <f>B228/((2*PI()*B228*B227*(B219/(2*PI())))-1)</f>
        <v>6.14218452709586e-9</v>
      </c>
      <c r="C229" t="s">
        <v>258</v>
      </c>
      <c r="E229" t="s">
        <v>339</v>
      </c>
    </row>
    <row r="230" customFormat="1" ht="16.5" customHeight="1"/>
    <row r="231" customFormat="1" ht="16.5" customHeight="1" spans="1:5">
      <c r="A231" s="125" t="s">
        <v>357</v>
      </c>
    </row>
    <row r="232" customFormat="1" spans="1:5">
      <c r="B232">
        <f>IF(B52=0,B222,B198)</f>
        <v>1037.96702016454</v>
      </c>
      <c r="C232" t="s">
        <v>111</v>
      </c>
      <c r="E232" t="s">
        <v>358</v>
      </c>
    </row>
    <row r="233" customFormat="1" spans="1:5">
      <c r="A233" t="s">
        <v>332</v>
      </c>
      <c r="B233" s="15">
        <f>'Design Converter'!H68*1000</f>
        <v>700</v>
      </c>
      <c r="C233" t="s">
        <v>111</v>
      </c>
      <c r="E233" t="s">
        <v>359</v>
      </c>
    </row>
    <row r="234" customFormat="1"/>
    <row r="235" customFormat="1" spans="1:5">
      <c r="A235" t="s">
        <v>360</v>
      </c>
      <c r="B235">
        <f>IF(B52=0,RCOMP_CALC_DCM,Rcomp_calc_CCM)</f>
        <v>4162.93347512721</v>
      </c>
    </row>
    <row r="236" customFormat="1" spans="1:5">
      <c r="A236" t="s">
        <v>361</v>
      </c>
      <c r="B236" s="15">
        <f>'Design Converter'!H71*1000</f>
        <v>2500</v>
      </c>
      <c r="C236" s="16" t="s">
        <v>35</v>
      </c>
      <c r="E236" t="s">
        <v>362</v>
      </c>
    </row>
    <row r="237" customFormat="1" spans="1:5">
      <c r="A237" t="s">
        <v>363</v>
      </c>
      <c r="B237">
        <f>IF(B52=0,CCOMP_CALC_DCM,CCOMP_calc_CCM)</f>
        <v>2.80349816761115e-7</v>
      </c>
    </row>
    <row r="238" customFormat="1" spans="1:5">
      <c r="A238" t="s">
        <v>364</v>
      </c>
      <c r="B238" s="15">
        <f>'Design Converter'!H72*(10^-9)</f>
        <v>2.2e-7</v>
      </c>
      <c r="C238" t="s">
        <v>258</v>
      </c>
      <c r="E238" t="s">
        <v>365</v>
      </c>
    </row>
    <row r="239" customFormat="1" spans="1:5">
      <c r="A239" t="s">
        <v>366</v>
      </c>
      <c r="B239">
        <f>IF(B52=0,CHF_CALC_DCM,CHF_CALC_CCM)</f>
        <v>6.13883351925882e-9</v>
      </c>
    </row>
    <row r="240" customFormat="1" spans="1:5">
      <c r="A240" t="s">
        <v>367</v>
      </c>
      <c r="B240" s="15">
        <f>'Design Converter'!H73*(10^-12)</f>
        <v>4.7e-9</v>
      </c>
      <c r="C240" t="s">
        <v>258</v>
      </c>
      <c r="E240" t="s">
        <v>368</v>
      </c>
    </row>
    <row r="241" customFormat="1"/>
    <row r="242" spans="1:5">
      <c r="A242" s="139" t="s">
        <v>369</v>
      </c>
    </row>
    <row r="243" customFormat="1" spans="1:5">
      <c r="A243" s="139" t="s">
        <v>80</v>
      </c>
    </row>
    <row r="244" customFormat="1" spans="1:5">
      <c r="A244" s="147" t="s">
        <v>370</v>
      </c>
      <c r="E244" t="s">
        <v>371</v>
      </c>
    </row>
    <row r="245" spans="1:5">
      <c r="A245" t="s">
        <v>372</v>
      </c>
      <c r="B245">
        <f>'Design Converter'!H88/1000</f>
        <v>0.325</v>
      </c>
      <c r="C245" t="s">
        <v>7</v>
      </c>
      <c r="E245" t="s">
        <v>373</v>
      </c>
    </row>
    <row r="246" spans="1:5">
      <c r="A246" t="s">
        <v>374</v>
      </c>
      <c r="B246">
        <f>'Design Converter'!H89*(10^-9)</f>
        <v>0</v>
      </c>
      <c r="C246" t="s">
        <v>375</v>
      </c>
      <c r="E246" t="s">
        <v>376</v>
      </c>
    </row>
    <row r="248" customFormat="1"/>
    <row r="249" spans="1:5">
      <c r="A249" s="139" t="s">
        <v>377</v>
      </c>
    </row>
    <row r="250" ht="16.5" spans="1:5">
      <c r="A250" t="s">
        <v>378</v>
      </c>
      <c r="B250" s="15">
        <f>'Design Converter'!H78*(10^-3)</f>
        <v>0.0065</v>
      </c>
      <c r="C250" s="16" t="s">
        <v>35</v>
      </c>
      <c r="E250" s="148" t="s">
        <v>69</v>
      </c>
    </row>
    <row r="251" ht="16.5" spans="1:5">
      <c r="A251" t="s">
        <v>379</v>
      </c>
      <c r="B251" s="15">
        <f>'Design Converter'!H79*(10^-9)</f>
        <v>3e-8</v>
      </c>
      <c r="C251" t="s">
        <v>258</v>
      </c>
      <c r="E251" s="148" t="s">
        <v>71</v>
      </c>
    </row>
    <row r="252" ht="16.5" spans="1:5">
      <c r="A252" t="s">
        <v>380</v>
      </c>
      <c r="B252" s="15">
        <f>'Design Converter'!H80*(10^-9)</f>
        <v>6.5e-9</v>
      </c>
      <c r="C252" t="s">
        <v>258</v>
      </c>
      <c r="E252" s="148" t="s">
        <v>73</v>
      </c>
    </row>
    <row r="253" ht="16.5" spans="1:5">
      <c r="A253" t="s">
        <v>381</v>
      </c>
      <c r="B253" s="15">
        <f>'Design Converter'!H81*(10^-9)</f>
        <v>3.5e-9</v>
      </c>
      <c r="C253" t="s">
        <v>258</v>
      </c>
      <c r="E253" s="148" t="s">
        <v>74</v>
      </c>
    </row>
    <row r="254" ht="16.5" spans="1:5">
      <c r="A254" t="s">
        <v>382</v>
      </c>
      <c r="B254" s="15">
        <f>'Design Converter'!H82</f>
        <v>1.3</v>
      </c>
      <c r="C254" s="16" t="s">
        <v>35</v>
      </c>
      <c r="E254" s="148" t="s">
        <v>75</v>
      </c>
    </row>
    <row r="255" customFormat="1" spans="1:5">
      <c r="A255" t="s">
        <v>383</v>
      </c>
      <c r="B255" s="10">
        <v>1.5</v>
      </c>
      <c r="C255" s="16"/>
      <c r="E255" s="148" t="s">
        <v>384</v>
      </c>
    </row>
    <row r="256" ht="16.5" spans="1:5">
      <c r="A256" t="s">
        <v>385</v>
      </c>
      <c r="B256" s="15">
        <f>'Design Converter'!H83</f>
        <v>70</v>
      </c>
      <c r="C256" s="16" t="s">
        <v>78</v>
      </c>
      <c r="E256" s="148" t="s">
        <v>77</v>
      </c>
    </row>
    <row r="257" ht="16.5" spans="1:8">
      <c r="A257" t="s">
        <v>386</v>
      </c>
      <c r="B257" s="15">
        <f>'Design Converter'!H84</f>
        <v>10</v>
      </c>
      <c r="C257" s="16" t="s">
        <v>7</v>
      </c>
      <c r="E257" s="148" t="s">
        <v>79</v>
      </c>
    </row>
    <row r="258" customFormat="1" spans="1:8">
      <c r="A258" t="s">
        <v>387</v>
      </c>
      <c r="B258" s="10">
        <f>Vcc</f>
        <v>7.2</v>
      </c>
      <c r="C258" s="16" t="s">
        <v>7</v>
      </c>
      <c r="E258" s="148" t="s">
        <v>388</v>
      </c>
    </row>
    <row r="259" customFormat="1" spans="1:8">
      <c r="B259" s="13"/>
      <c r="C259" s="16"/>
      <c r="E259" s="148"/>
    </row>
    <row r="260" customFormat="1" spans="1:8">
      <c r="B260" s="13"/>
      <c r="C260" s="16"/>
      <c r="E260" s="148"/>
    </row>
    <row r="261" spans="1:8">
      <c r="A261" t="s">
        <v>389</v>
      </c>
      <c r="B261" s="137">
        <f>Vth+((IOUT+(VOUT*IOUT/VIN_min))/gfs)</f>
        <v>10.1095238095238</v>
      </c>
      <c r="C261" s="16" t="s">
        <v>7</v>
      </c>
      <c r="E261" s="148" t="s">
        <v>390</v>
      </c>
    </row>
    <row r="262" spans="1:8">
      <c r="A262" t="s">
        <v>391</v>
      </c>
      <c r="B262" s="12">
        <f>(Qgd+(Qgs/2))*((Rgate+B255)/(Vcc-B261))</f>
        <v>-7.93944353518822e-9</v>
      </c>
      <c r="C262" s="16" t="s">
        <v>173</v>
      </c>
      <c r="E262" s="148" t="s">
        <v>392</v>
      </c>
    </row>
    <row r="263" ht="15.75" spans="1:8">
      <c r="A263" t="s">
        <v>393</v>
      </c>
      <c r="B263" s="124">
        <f>(Qgd+(Qgs/2))*((B255+Rgate)/B261)</f>
        <v>2.28497409326425e-9</v>
      </c>
      <c r="C263" t="s">
        <v>173</v>
      </c>
      <c r="E263" s="149" t="s">
        <v>394</v>
      </c>
      <c r="H263" t="s">
        <v>395</v>
      </c>
    </row>
  </sheetData>
  <mergeCells count="2">
    <mergeCell ref="A1:J1"/>
    <mergeCell ref="E5:H5"/>
  </mergeCells>
  <pageMargins left="0.7" right="0.7" top="0.75" bottom="0.75" header="0.3" footer="0.3"/>
  <pageSetup paperSize="1" orientation="portrait"/>
  <headerFooter/>
  <ignoredErrors>
    <ignoredError sqref="B217 B219" formula="1"/>
  </ignoredErrors>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AT157"/>
  <sheetViews>
    <sheetView zoomScale="85" zoomScaleNormal="85" topLeftCell="I1" workbookViewId="0">
      <pane ySplit="6" topLeftCell="A100" activePane="bottomLeft" state="frozen"/>
      <selection/>
      <selection pane="bottomLeft" activeCell="AU42" sqref="AU42"/>
    </sheetView>
  </sheetViews>
  <sheetFormatPr defaultColWidth="9" defaultRowHeight="15"/>
  <cols>
    <col min="10" max="10" width="10" customWidth="1"/>
    <col min="18" max="18" width="8.85714285714286"/>
    <col min="21" max="21" width="8.85714285714286"/>
    <col min="24" max="24" width="8.85714285714286"/>
    <col min="25" max="25" width="12" customWidth="1"/>
    <col min="28" max="28" width="8.85714285714286"/>
    <col min="30" max="30" width="8.85714285714286"/>
    <col min="35" max="35" width="8.85714285714286"/>
    <col min="39" max="39" width="11" customWidth="1"/>
    <col min="42" max="43" width="8.85714285714286"/>
  </cols>
  <sheetData>
    <row r="1" ht="27.75" spans="1:46">
      <c r="A1" s="1" t="s">
        <v>90</v>
      </c>
      <c r="B1" s="1"/>
      <c r="C1" s="1"/>
      <c r="D1" s="1"/>
      <c r="E1" s="1"/>
      <c r="F1" s="1"/>
      <c r="G1" s="1"/>
      <c r="H1" s="1"/>
      <c r="I1" s="1"/>
      <c r="J1" s="1"/>
      <c r="K1" s="1"/>
      <c r="L1" s="1"/>
      <c r="M1" s="1"/>
    </row>
    <row r="2" spans="1:46">
      <c r="Y2" s="40" t="s">
        <v>396</v>
      </c>
      <c r="Z2" s="40"/>
      <c r="AA2" s="40"/>
      <c r="AB2" s="40"/>
      <c r="AC2" s="40"/>
      <c r="AD2" s="40"/>
    </row>
    <row r="4" ht="15.75" spans="1:46">
      <c r="R4" s="96"/>
      <c r="S4" s="96"/>
      <c r="T4" s="96"/>
      <c r="U4" s="96"/>
      <c r="V4" s="96"/>
      <c r="W4" s="96"/>
      <c r="X4" s="96"/>
      <c r="Y4" s="96"/>
      <c r="Z4" s="96"/>
      <c r="AA4" s="96"/>
      <c r="AB4" s="96"/>
      <c r="AC4" s="96"/>
      <c r="AD4" s="96"/>
      <c r="AE4" s="96"/>
      <c r="AF4" s="96"/>
      <c r="AG4" s="96"/>
      <c r="AH4" s="96"/>
      <c r="AI4" s="96"/>
      <c r="AJ4" s="96"/>
      <c r="AK4" s="96"/>
      <c r="AL4" s="96"/>
      <c r="AM4" s="96"/>
      <c r="AN4" s="96"/>
      <c r="AO4" s="96"/>
      <c r="AP4" s="96"/>
      <c r="AQ4" s="96"/>
      <c r="AR4" s="96"/>
      <c r="AS4" s="96"/>
      <c r="AT4" s="96"/>
    </row>
    <row r="5" ht="30" spans="1:46">
      <c r="R5" s="97" t="s">
        <v>397</v>
      </c>
      <c r="S5" s="98"/>
      <c r="T5" s="98"/>
      <c r="U5" s="99"/>
      <c r="V5" s="97" t="s">
        <v>398</v>
      </c>
      <c r="W5" s="98"/>
      <c r="X5" s="99"/>
      <c r="Y5" s="97" t="s">
        <v>399</v>
      </c>
      <c r="Z5" s="98"/>
      <c r="AA5" s="98"/>
      <c r="AB5" s="98"/>
      <c r="AC5" s="98"/>
      <c r="AD5" s="99"/>
      <c r="AE5" s="97" t="s">
        <v>400</v>
      </c>
      <c r="AF5" s="98"/>
      <c r="AG5" s="98"/>
      <c r="AH5" s="98"/>
      <c r="AI5" s="99"/>
      <c r="AJ5" s="97" t="s">
        <v>401</v>
      </c>
      <c r="AK5" s="98"/>
      <c r="AL5" s="98"/>
      <c r="AM5" s="98"/>
      <c r="AN5" s="99"/>
      <c r="AO5" s="100" t="s">
        <v>402</v>
      </c>
      <c r="AP5" s="101"/>
      <c r="AQ5" s="102"/>
      <c r="AR5" s="100" t="s">
        <v>403</v>
      </c>
      <c r="AS5" s="103"/>
      <c r="AT5" s="104"/>
    </row>
    <row r="6" ht="18.75" spans="1:46">
      <c r="R6" s="105" t="s">
        <v>115</v>
      </c>
      <c r="S6" s="106" t="s">
        <v>117</v>
      </c>
      <c r="T6" s="106" t="s">
        <v>404</v>
      </c>
      <c r="U6" s="107" t="s">
        <v>405</v>
      </c>
      <c r="V6" s="105" t="s">
        <v>406</v>
      </c>
      <c r="W6" s="106" t="s">
        <v>407</v>
      </c>
      <c r="X6" s="107" t="s">
        <v>408</v>
      </c>
      <c r="Y6" s="108" t="s">
        <v>409</v>
      </c>
      <c r="Z6" s="109" t="s">
        <v>410</v>
      </c>
      <c r="AA6" s="109" t="s">
        <v>411</v>
      </c>
      <c r="AB6" s="110" t="s">
        <v>412</v>
      </c>
      <c r="AC6" s="110" t="s">
        <v>413</v>
      </c>
      <c r="AD6" s="111" t="s">
        <v>414</v>
      </c>
      <c r="AE6" s="108" t="s">
        <v>415</v>
      </c>
      <c r="AF6" s="109" t="s">
        <v>416</v>
      </c>
      <c r="AG6" s="110" t="s">
        <v>417</v>
      </c>
      <c r="AH6" s="110" t="s">
        <v>418</v>
      </c>
      <c r="AI6" s="111" t="s">
        <v>419</v>
      </c>
      <c r="AJ6" s="108" t="s">
        <v>420</v>
      </c>
      <c r="AK6" s="109" t="s">
        <v>421</v>
      </c>
      <c r="AL6" s="109" t="s">
        <v>422</v>
      </c>
      <c r="AM6" s="109" t="s">
        <v>423</v>
      </c>
      <c r="AN6" s="112" t="s">
        <v>424</v>
      </c>
      <c r="AO6" s="108" t="s">
        <v>425</v>
      </c>
      <c r="AP6" s="109" t="s">
        <v>426</v>
      </c>
      <c r="AQ6" s="112" t="s">
        <v>427</v>
      </c>
      <c r="AR6" s="108" t="s">
        <v>428</v>
      </c>
      <c r="AS6" s="109" t="s">
        <v>429</v>
      </c>
      <c r="AT6" s="112" t="s">
        <v>430</v>
      </c>
    </row>
    <row r="7" spans="1:46">
      <c r="Q7">
        <v>0</v>
      </c>
      <c r="R7" s="105">
        <f t="shared" ref="R7:R70" si="0">VOUT</f>
        <v>20</v>
      </c>
      <c r="S7" s="106">
        <f t="shared" ref="S7:S38" si="1">Q7*$O$12</f>
        <v>0</v>
      </c>
      <c r="T7" s="106">
        <f t="shared" ref="T7:T70" si="2">VIN_var</f>
        <v>4</v>
      </c>
      <c r="U7" s="107">
        <f t="shared" ref="U7:U38" si="3">(R7*S7)/(T7*EFF_est)</f>
        <v>0</v>
      </c>
      <c r="V7" s="105">
        <f t="shared" ref="V7:V38" si="4">IF(S7&lt;((T7^2)*R7)/(2*Fsw*Lm*((T7+R7)^2)),1,2)</f>
        <v>1</v>
      </c>
      <c r="W7" s="106">
        <f t="shared" ref="W7:W38" si="5">CHOOSE(V7,SQRT(2*Lm*R7*S7*Fsw)/T7,R7/(T7+R7))</f>
        <v>0</v>
      </c>
      <c r="X7" s="107">
        <f t="shared" ref="X7:X38" si="6">CHOOSE(V7,(Lm*Z7*Fsw)/(R7),1-W7)</f>
        <v>0</v>
      </c>
      <c r="Y7" s="105">
        <f t="shared" ref="Y7" si="7">(T7*W7)/(Lm*Fsw)</f>
        <v>0</v>
      </c>
      <c r="Z7" s="106">
        <f t="shared" ref="Z7:Z19" si="8">U7+S7+(Y7)</f>
        <v>0</v>
      </c>
      <c r="AA7" s="106">
        <f>CHOOSE(V7,Z7*SQRT((W7+X7)/3),SQRT((U7^2)+((Y7^2)/12)))</f>
        <v>0</v>
      </c>
      <c r="AB7" s="106">
        <v>0</v>
      </c>
      <c r="AC7" s="106">
        <f t="shared" ref="AC7" si="9">(AA7^2)*Rdcr</f>
        <v>0</v>
      </c>
      <c r="AD7" s="107">
        <f>AB7+AC7</f>
        <v>0</v>
      </c>
      <c r="AE7" s="105">
        <f>U7*S7*W7</f>
        <v>0</v>
      </c>
      <c r="AF7" s="106">
        <f>AA7</f>
        <v>0</v>
      </c>
      <c r="AG7" s="106">
        <f t="shared" ref="AG7:AG38" si="10">(AF7^2)*RDS_on</f>
        <v>0</v>
      </c>
      <c r="AH7" s="106">
        <f t="shared" ref="AH7:AH38" si="11">(((R7+T7)*(U7+S7))/2)*Fsw*(tr_sw+tf_sw)</f>
        <v>0</v>
      </c>
      <c r="AI7" s="107">
        <f>AG7+AH7</f>
        <v>0</v>
      </c>
      <c r="AJ7" s="105">
        <f>S7</f>
        <v>0</v>
      </c>
      <c r="AK7" s="106">
        <f t="shared" ref="AK7" si="12">CHOOSE(V7,Z7*SQRT(X7/3),SQRT(X7*((Z7^2)+((Y7^2)/3)-(Y7*Z7))))</f>
        <v>0</v>
      </c>
      <c r="AL7" s="106">
        <f t="shared" ref="AL7" si="13">S7*Vd_rect</f>
        <v>0</v>
      </c>
      <c r="AM7" s="106">
        <f t="shared" ref="AM7:AM38" si="14">(R7+T7+Vd_rect)*Qrr*Fsw</f>
        <v>0</v>
      </c>
      <c r="AN7" s="107">
        <f>AL7+AM7</f>
        <v>0</v>
      </c>
      <c r="AO7" s="105">
        <f t="shared" ref="AO7:AO38" si="15">(AF7^2)*R_cs</f>
        <v>0</v>
      </c>
      <c r="AP7" s="106">
        <f t="shared" ref="AP7:AP70" si="16">Qg_tot*Vcc*Fsw</f>
        <v>0.1512</v>
      </c>
      <c r="AQ7" s="107">
        <f t="shared" ref="AQ7" si="17">IQ*T7</f>
        <v>0.0132</v>
      </c>
      <c r="AR7" s="105">
        <f>AO7+AN7+AI7+AP7+AQ7</f>
        <v>0.1644</v>
      </c>
      <c r="AS7" s="106">
        <f>R7*S7</f>
        <v>0</v>
      </c>
      <c r="AT7" s="107">
        <f>(AS7/(AS7+AR7))*100</f>
        <v>0</v>
      </c>
    </row>
    <row r="8" spans="1:46">
      <c r="M8">
        <f>Fsw</f>
        <v>700000</v>
      </c>
      <c r="Q8">
        <v>1</v>
      </c>
      <c r="R8" s="105">
        <f t="shared" si="0"/>
        <v>20</v>
      </c>
      <c r="S8" s="106">
        <f t="shared" si="1"/>
        <v>0.00666666666666667</v>
      </c>
      <c r="T8" s="106">
        <f t="shared" si="2"/>
        <v>4</v>
      </c>
      <c r="U8" s="107">
        <f t="shared" si="3"/>
        <v>0.0333333333333333</v>
      </c>
      <c r="V8" s="105">
        <f t="shared" si="4"/>
        <v>1</v>
      </c>
      <c r="W8" s="106">
        <f t="shared" si="5"/>
        <v>0.341565025531987</v>
      </c>
      <c r="X8" s="107">
        <f t="shared" si="6"/>
        <v>0.0823130051063973</v>
      </c>
      <c r="Y8" s="105">
        <f t="shared" ref="Y8:Y71" si="18">(T8*W8)/(Lm*Fsw)</f>
        <v>0.195180014589707</v>
      </c>
      <c r="Z8" s="106">
        <f t="shared" si="8"/>
        <v>0.235180014589707</v>
      </c>
      <c r="AA8" s="106">
        <f t="shared" ref="AA8:AA71" si="19">CHOOSE(V8,Z8*SQRT((W8+X8)/3),SQRT((U8^2)+((Y8^2)/12)))</f>
        <v>0.08840162322392</v>
      </c>
      <c r="AB8" s="106">
        <v>0</v>
      </c>
      <c r="AC8" s="106">
        <f t="shared" ref="AC8:AC71" si="20">(AA8^2)*Rdcr</f>
        <v>7.81484698862392e-5</v>
      </c>
      <c r="AD8" s="107">
        <f t="shared" ref="AD8:AD71" si="21">AB8+AC8</f>
        <v>7.81484698862392e-5</v>
      </c>
      <c r="AE8" s="105">
        <f t="shared" ref="AE8:AE71" si="22">U8*S8*W8</f>
        <v>7.59033390071081e-5</v>
      </c>
      <c r="AF8" s="106">
        <f t="shared" ref="AF8:AF71" si="23">AA8</f>
        <v>0.08840162322392</v>
      </c>
      <c r="AG8" s="106">
        <f t="shared" si="10"/>
        <v>5.07965054260555e-5</v>
      </c>
      <c r="AH8" s="106">
        <f t="shared" si="11"/>
        <v>-0.00189990173248645</v>
      </c>
      <c r="AI8" s="107">
        <f t="shared" ref="AI8:AI71" si="24">AG8+AH8</f>
        <v>-0.0018491052270604</v>
      </c>
      <c r="AJ8" s="105">
        <f t="shared" ref="AJ8:AJ71" si="25">S8</f>
        <v>0.00666666666666667</v>
      </c>
      <c r="AK8" s="106">
        <f t="shared" ref="AK8:AK71" si="26">CHOOSE(V8,Z8*SQRT(X8/3),SQRT(X8*((Z8^2)+((Y8^2)/3)-(Y8*Z8))))</f>
        <v>0.0389559692432372</v>
      </c>
      <c r="AL8" s="106">
        <f t="shared" ref="AL8:AL71" si="27">S8*Vd_rect</f>
        <v>0.00216666666666667</v>
      </c>
      <c r="AM8" s="106">
        <f t="shared" si="14"/>
        <v>0</v>
      </c>
      <c r="AN8" s="107">
        <f t="shared" ref="AN8:AN71" si="28">AL8+AM8</f>
        <v>0.00216666666666667</v>
      </c>
      <c r="AO8" s="105">
        <f t="shared" si="15"/>
        <v>7.81484698862392e-5</v>
      </c>
      <c r="AP8" s="106">
        <f t="shared" si="16"/>
        <v>0.1512</v>
      </c>
      <c r="AQ8" s="107">
        <f t="shared" ref="AQ8:AQ71" si="29">IQ*T8</f>
        <v>0.0132</v>
      </c>
      <c r="AR8" s="105">
        <f t="shared" ref="AR8:AR71" si="30">AO8+AN8+AI8+AP8+AQ8</f>
        <v>0.164795709909492</v>
      </c>
      <c r="AS8" s="106">
        <f t="shared" ref="AS8:AS71" si="31">R8*S8</f>
        <v>0.133333333333333</v>
      </c>
      <c r="AT8" s="107">
        <f t="shared" ref="AT8:AT71" si="32">(AS8/(AS8+AR8))*100</f>
        <v>44.7233627032887</v>
      </c>
    </row>
    <row r="9" spans="1:46">
      <c r="N9" s="106" t="s">
        <v>431</v>
      </c>
      <c r="O9" s="106">
        <f>VIN_var</f>
        <v>4</v>
      </c>
      <c r="P9" t="s">
        <v>7</v>
      </c>
      <c r="Q9">
        <v>2</v>
      </c>
      <c r="R9" s="105">
        <f t="shared" si="0"/>
        <v>20</v>
      </c>
      <c r="S9" s="106">
        <f t="shared" si="1"/>
        <v>0.0133333333333333</v>
      </c>
      <c r="T9" s="106">
        <f t="shared" si="2"/>
        <v>4</v>
      </c>
      <c r="U9" s="107">
        <f t="shared" si="3"/>
        <v>0.0666666666666667</v>
      </c>
      <c r="V9" s="105">
        <f t="shared" si="4"/>
        <v>1</v>
      </c>
      <c r="W9" s="106">
        <f t="shared" si="5"/>
        <v>0.483045891539648</v>
      </c>
      <c r="X9" s="107">
        <f t="shared" si="6"/>
        <v>0.12460917830793</v>
      </c>
      <c r="Y9" s="105">
        <f t="shared" si="18"/>
        <v>0.276026223736942</v>
      </c>
      <c r="Z9" s="106">
        <f t="shared" si="8"/>
        <v>0.356026223736942</v>
      </c>
      <c r="AA9" s="106">
        <f t="shared" si="19"/>
        <v>0.160232247129607</v>
      </c>
      <c r="AB9" s="106">
        <v>0</v>
      </c>
      <c r="AC9" s="106">
        <f t="shared" si="20"/>
        <v>0.000256743730202033</v>
      </c>
      <c r="AD9" s="107">
        <f t="shared" si="21"/>
        <v>0.000256743730202033</v>
      </c>
      <c r="AE9" s="105">
        <f t="shared" si="22"/>
        <v>0.00042937412581302</v>
      </c>
      <c r="AF9" s="106">
        <f t="shared" si="23"/>
        <v>0.160232247129607</v>
      </c>
      <c r="AG9" s="106">
        <f t="shared" si="10"/>
        <v>0.000166883424631322</v>
      </c>
      <c r="AH9" s="106">
        <f t="shared" si="11"/>
        <v>-0.00379980346497291</v>
      </c>
      <c r="AI9" s="107">
        <f t="shared" si="24"/>
        <v>-0.00363292004034159</v>
      </c>
      <c r="AJ9" s="105">
        <f t="shared" si="25"/>
        <v>0.0133333333333333</v>
      </c>
      <c r="AK9" s="106">
        <f t="shared" si="26"/>
        <v>0.0725598500622395</v>
      </c>
      <c r="AL9" s="106">
        <f t="shared" si="27"/>
        <v>0.00433333333333333</v>
      </c>
      <c r="AM9" s="106">
        <f t="shared" si="14"/>
        <v>0</v>
      </c>
      <c r="AN9" s="107">
        <f t="shared" si="28"/>
        <v>0.00433333333333333</v>
      </c>
      <c r="AO9" s="105">
        <f t="shared" si="15"/>
        <v>0.000256743730202033</v>
      </c>
      <c r="AP9" s="106">
        <f t="shared" si="16"/>
        <v>0.1512</v>
      </c>
      <c r="AQ9" s="107">
        <f t="shared" si="29"/>
        <v>0.0132</v>
      </c>
      <c r="AR9" s="105">
        <f t="shared" si="30"/>
        <v>0.165357157023194</v>
      </c>
      <c r="AS9" s="106">
        <f t="shared" si="31"/>
        <v>0.266666666666667</v>
      </c>
      <c r="AT9" s="107">
        <f t="shared" si="32"/>
        <v>61.7249910870888</v>
      </c>
    </row>
    <row r="10" spans="1:46">
      <c r="N10" s="106"/>
      <c r="O10" s="106"/>
      <c r="Q10">
        <v>3</v>
      </c>
      <c r="R10" s="105">
        <f t="shared" si="0"/>
        <v>20</v>
      </c>
      <c r="S10" s="106">
        <f t="shared" si="1"/>
        <v>0.02</v>
      </c>
      <c r="T10" s="106">
        <f t="shared" si="2"/>
        <v>4</v>
      </c>
      <c r="U10" s="107">
        <f t="shared" si="3"/>
        <v>0.1</v>
      </c>
      <c r="V10" s="105">
        <f t="shared" si="4"/>
        <v>1</v>
      </c>
      <c r="W10" s="106">
        <f t="shared" si="5"/>
        <v>0.591607978309962</v>
      </c>
      <c r="X10" s="107">
        <f t="shared" si="6"/>
        <v>0.160321595661992</v>
      </c>
      <c r="Y10" s="105">
        <f t="shared" si="18"/>
        <v>0.338061701891407</v>
      </c>
      <c r="Z10" s="106">
        <f t="shared" si="8"/>
        <v>0.458061701891407</v>
      </c>
      <c r="AA10" s="106">
        <f t="shared" si="19"/>
        <v>0.229325283003713</v>
      </c>
      <c r="AB10" s="106">
        <v>0</v>
      </c>
      <c r="AC10" s="106">
        <f t="shared" si="20"/>
        <v>0.00052590085424733</v>
      </c>
      <c r="AD10" s="107">
        <f t="shared" si="21"/>
        <v>0.00052590085424733</v>
      </c>
      <c r="AE10" s="105">
        <f t="shared" si="22"/>
        <v>0.00118321595661992</v>
      </c>
      <c r="AF10" s="106">
        <f t="shared" si="23"/>
        <v>0.229325283003713</v>
      </c>
      <c r="AG10" s="106">
        <f t="shared" si="10"/>
        <v>0.000341835555260765</v>
      </c>
      <c r="AH10" s="106">
        <f t="shared" si="11"/>
        <v>-0.00569970519745936</v>
      </c>
      <c r="AI10" s="107">
        <f t="shared" si="24"/>
        <v>-0.0053578696421986</v>
      </c>
      <c r="AJ10" s="105">
        <f t="shared" si="25"/>
        <v>0.02</v>
      </c>
      <c r="AK10" s="106">
        <f t="shared" si="26"/>
        <v>0.105891077698193</v>
      </c>
      <c r="AL10" s="106">
        <f t="shared" si="27"/>
        <v>0.0065</v>
      </c>
      <c r="AM10" s="106">
        <f t="shared" si="14"/>
        <v>0</v>
      </c>
      <c r="AN10" s="107">
        <f t="shared" si="28"/>
        <v>0.0065</v>
      </c>
      <c r="AO10" s="105">
        <f t="shared" si="15"/>
        <v>0.00052590085424733</v>
      </c>
      <c r="AP10" s="106">
        <f t="shared" si="16"/>
        <v>0.1512</v>
      </c>
      <c r="AQ10" s="107">
        <f t="shared" si="29"/>
        <v>0.0132</v>
      </c>
      <c r="AR10" s="105">
        <f t="shared" si="30"/>
        <v>0.166068031212049</v>
      </c>
      <c r="AS10" s="106">
        <f t="shared" si="31"/>
        <v>0.4</v>
      </c>
      <c r="AT10" s="107">
        <f t="shared" si="32"/>
        <v>70.6628846613244</v>
      </c>
    </row>
    <row r="11" spans="1:46">
      <c r="N11" s="106" t="s">
        <v>432</v>
      </c>
      <c r="O11" s="106">
        <v>150</v>
      </c>
      <c r="Q11">
        <v>4</v>
      </c>
      <c r="R11" s="105">
        <f t="shared" si="0"/>
        <v>20</v>
      </c>
      <c r="S11" s="106">
        <f t="shared" si="1"/>
        <v>0.0266666666666667</v>
      </c>
      <c r="T11" s="106">
        <f t="shared" si="2"/>
        <v>4</v>
      </c>
      <c r="U11" s="107">
        <f t="shared" si="3"/>
        <v>0.133333333333333</v>
      </c>
      <c r="V11" s="105">
        <f t="shared" si="4"/>
        <v>1</v>
      </c>
      <c r="W11" s="106">
        <f t="shared" si="5"/>
        <v>0.683130051063973</v>
      </c>
      <c r="X11" s="107">
        <f t="shared" si="6"/>
        <v>0.192626010212795</v>
      </c>
      <c r="Y11" s="105">
        <f t="shared" si="18"/>
        <v>0.390360029179413</v>
      </c>
      <c r="Z11" s="106">
        <f t="shared" si="8"/>
        <v>0.550360029179413</v>
      </c>
      <c r="AA11" s="106">
        <f t="shared" si="19"/>
        <v>0.297356771999745</v>
      </c>
      <c r="AB11" s="106">
        <v>0</v>
      </c>
      <c r="AC11" s="106">
        <f t="shared" si="20"/>
        <v>0.000884210498541086</v>
      </c>
      <c r="AD11" s="107">
        <f t="shared" si="21"/>
        <v>0.000884210498541086</v>
      </c>
      <c r="AE11" s="105">
        <f t="shared" si="22"/>
        <v>0.00242890684822746</v>
      </c>
      <c r="AF11" s="106">
        <f t="shared" si="23"/>
        <v>0.297356771999745</v>
      </c>
      <c r="AG11" s="106">
        <f t="shared" si="10"/>
        <v>0.000574736824051706</v>
      </c>
      <c r="AH11" s="106">
        <f t="shared" si="11"/>
        <v>-0.00759960692994582</v>
      </c>
      <c r="AI11" s="107">
        <f t="shared" si="24"/>
        <v>-0.00702487010589411</v>
      </c>
      <c r="AJ11" s="105">
        <f t="shared" si="25"/>
        <v>0.0266666666666667</v>
      </c>
      <c r="AK11" s="106">
        <f t="shared" si="26"/>
        <v>0.139458093037034</v>
      </c>
      <c r="AL11" s="106">
        <f t="shared" si="27"/>
        <v>0.00866666666666667</v>
      </c>
      <c r="AM11" s="106">
        <f t="shared" si="14"/>
        <v>0</v>
      </c>
      <c r="AN11" s="107">
        <f t="shared" si="28"/>
        <v>0.00866666666666667</v>
      </c>
      <c r="AO11" s="105">
        <f t="shared" si="15"/>
        <v>0.000884210498541086</v>
      </c>
      <c r="AP11" s="106">
        <f t="shared" si="16"/>
        <v>0.1512</v>
      </c>
      <c r="AQ11" s="107">
        <f t="shared" si="29"/>
        <v>0.0132</v>
      </c>
      <c r="AR11" s="105">
        <f t="shared" si="30"/>
        <v>0.166926007059314</v>
      </c>
      <c r="AS11" s="106">
        <f t="shared" si="31"/>
        <v>0.533333333333333</v>
      </c>
      <c r="AT11" s="107">
        <f t="shared" si="32"/>
        <v>76.1622591187837</v>
      </c>
    </row>
    <row r="12" spans="1:46">
      <c r="N12" s="106" t="s">
        <v>433</v>
      </c>
      <c r="O12" s="106">
        <f>IOUT/(O11)</f>
        <v>0.00666666666666667</v>
      </c>
      <c r="Q12">
        <v>5</v>
      </c>
      <c r="R12" s="105">
        <f t="shared" si="0"/>
        <v>20</v>
      </c>
      <c r="S12" s="106">
        <f t="shared" si="1"/>
        <v>0.0333333333333333</v>
      </c>
      <c r="T12" s="106">
        <f t="shared" si="2"/>
        <v>4</v>
      </c>
      <c r="U12" s="107">
        <f t="shared" si="3"/>
        <v>0.166666666666667</v>
      </c>
      <c r="V12" s="105">
        <f t="shared" si="4"/>
        <v>1</v>
      </c>
      <c r="W12" s="106">
        <f t="shared" si="5"/>
        <v>0.763762615825973</v>
      </c>
      <c r="X12" s="107">
        <f t="shared" si="6"/>
        <v>0.222752523165195</v>
      </c>
      <c r="Y12" s="105">
        <f t="shared" si="18"/>
        <v>0.436435780471985</v>
      </c>
      <c r="Z12" s="106">
        <f t="shared" si="8"/>
        <v>0.636435780471985</v>
      </c>
      <c r="AA12" s="106">
        <f t="shared" si="19"/>
        <v>0.364960478652593</v>
      </c>
      <c r="AB12" s="106">
        <v>0</v>
      </c>
      <c r="AC12" s="106">
        <f t="shared" si="20"/>
        <v>0.0013319615097833</v>
      </c>
      <c r="AD12" s="107">
        <f t="shared" si="21"/>
        <v>0.0013319615097833</v>
      </c>
      <c r="AE12" s="105">
        <f t="shared" si="22"/>
        <v>0.00424312564347763</v>
      </c>
      <c r="AF12" s="106">
        <f t="shared" si="23"/>
        <v>0.364960478652593</v>
      </c>
      <c r="AG12" s="106">
        <f t="shared" si="10"/>
        <v>0.000865774981359144</v>
      </c>
      <c r="AH12" s="106">
        <f t="shared" si="11"/>
        <v>-0.00949950866243227</v>
      </c>
      <c r="AI12" s="107">
        <f t="shared" si="24"/>
        <v>-0.00863373368107312</v>
      </c>
      <c r="AJ12" s="105">
        <f t="shared" si="25"/>
        <v>0.0333333333333333</v>
      </c>
      <c r="AK12" s="106">
        <f t="shared" si="26"/>
        <v>0.173422433648741</v>
      </c>
      <c r="AL12" s="106">
        <f t="shared" si="27"/>
        <v>0.0108333333333333</v>
      </c>
      <c r="AM12" s="106">
        <f t="shared" si="14"/>
        <v>0</v>
      </c>
      <c r="AN12" s="107">
        <f t="shared" si="28"/>
        <v>0.0108333333333333</v>
      </c>
      <c r="AO12" s="105">
        <f t="shared" si="15"/>
        <v>0.0013319615097833</v>
      </c>
      <c r="AP12" s="106">
        <f t="shared" si="16"/>
        <v>0.1512</v>
      </c>
      <c r="AQ12" s="107">
        <f t="shared" si="29"/>
        <v>0.0132</v>
      </c>
      <c r="AR12" s="105">
        <f t="shared" si="30"/>
        <v>0.167931561162043</v>
      </c>
      <c r="AS12" s="106">
        <f t="shared" si="31"/>
        <v>0.666666666666667</v>
      </c>
      <c r="AT12" s="107">
        <f t="shared" si="32"/>
        <v>79.8787541642721</v>
      </c>
    </row>
    <row r="13" spans="1:46">
      <c r="Q13">
        <v>6</v>
      </c>
      <c r="R13" s="105">
        <f t="shared" si="0"/>
        <v>20</v>
      </c>
      <c r="S13" s="106">
        <f t="shared" si="1"/>
        <v>0.04</v>
      </c>
      <c r="T13" s="106">
        <f t="shared" si="2"/>
        <v>4</v>
      </c>
      <c r="U13" s="107">
        <f t="shared" si="3"/>
        <v>0.2</v>
      </c>
      <c r="V13" s="105">
        <f t="shared" si="4"/>
        <v>2</v>
      </c>
      <c r="W13" s="106">
        <f t="shared" si="5"/>
        <v>0.833333333333333</v>
      </c>
      <c r="X13" s="107">
        <f t="shared" si="6"/>
        <v>0.166666666666667</v>
      </c>
      <c r="Y13" s="105">
        <f t="shared" si="18"/>
        <v>0.476190476190476</v>
      </c>
      <c r="Z13" s="106">
        <f t="shared" si="8"/>
        <v>0.716190476190476</v>
      </c>
      <c r="AA13" s="106">
        <f t="shared" si="19"/>
        <v>0.242685902903065</v>
      </c>
      <c r="AB13" s="106">
        <v>0</v>
      </c>
      <c r="AC13" s="106">
        <f t="shared" si="20"/>
        <v>0.00058896447467876</v>
      </c>
      <c r="AD13" s="107">
        <f t="shared" si="21"/>
        <v>0.00058896447467876</v>
      </c>
      <c r="AE13" s="105">
        <f t="shared" si="22"/>
        <v>0.00666666666666667</v>
      </c>
      <c r="AF13" s="106">
        <f t="shared" si="23"/>
        <v>0.242685902903065</v>
      </c>
      <c r="AG13" s="106">
        <f t="shared" si="10"/>
        <v>0.000382826908541194</v>
      </c>
      <c r="AH13" s="106">
        <f t="shared" si="11"/>
        <v>-0.0113994103949187</v>
      </c>
      <c r="AI13" s="107">
        <f t="shared" si="24"/>
        <v>-0.0110165834863775</v>
      </c>
      <c r="AJ13" s="105">
        <f t="shared" si="25"/>
        <v>0.04</v>
      </c>
      <c r="AK13" s="106">
        <f t="shared" si="26"/>
        <v>0.203089267793426</v>
      </c>
      <c r="AL13" s="106">
        <f t="shared" si="27"/>
        <v>0.013</v>
      </c>
      <c r="AM13" s="106">
        <f t="shared" si="14"/>
        <v>0</v>
      </c>
      <c r="AN13" s="107">
        <f t="shared" si="28"/>
        <v>0.013</v>
      </c>
      <c r="AO13" s="105">
        <f t="shared" si="15"/>
        <v>0.00058896447467876</v>
      </c>
      <c r="AP13" s="106">
        <f t="shared" si="16"/>
        <v>0.1512</v>
      </c>
      <c r="AQ13" s="107">
        <f t="shared" si="29"/>
        <v>0.0132</v>
      </c>
      <c r="AR13" s="105">
        <f t="shared" si="30"/>
        <v>0.166972380988301</v>
      </c>
      <c r="AS13" s="106">
        <f t="shared" si="31"/>
        <v>0.8</v>
      </c>
      <c r="AT13" s="107">
        <f t="shared" si="32"/>
        <v>82.7324560379226</v>
      </c>
    </row>
    <row r="14" spans="1:46">
      <c r="Q14">
        <v>7</v>
      </c>
      <c r="R14" s="105">
        <f t="shared" si="0"/>
        <v>20</v>
      </c>
      <c r="S14" s="106">
        <f t="shared" si="1"/>
        <v>0.0466666666666667</v>
      </c>
      <c r="T14" s="106">
        <f t="shared" si="2"/>
        <v>4</v>
      </c>
      <c r="U14" s="107">
        <f t="shared" si="3"/>
        <v>0.233333333333333</v>
      </c>
      <c r="V14" s="105">
        <f t="shared" si="4"/>
        <v>2</v>
      </c>
      <c r="W14" s="106">
        <f t="shared" si="5"/>
        <v>0.833333333333333</v>
      </c>
      <c r="X14" s="107">
        <f t="shared" si="6"/>
        <v>0.166666666666667</v>
      </c>
      <c r="Y14" s="105">
        <f t="shared" si="18"/>
        <v>0.476190476190476</v>
      </c>
      <c r="Z14" s="106">
        <f t="shared" si="8"/>
        <v>0.756190476190476</v>
      </c>
      <c r="AA14" s="106">
        <f t="shared" si="19"/>
        <v>0.270815235746293</v>
      </c>
      <c r="AB14" s="106">
        <v>0</v>
      </c>
      <c r="AC14" s="106">
        <f t="shared" si="20"/>
        <v>0.000733408919123205</v>
      </c>
      <c r="AD14" s="107">
        <f t="shared" si="21"/>
        <v>0.000733408919123205</v>
      </c>
      <c r="AE14" s="105">
        <f t="shared" si="22"/>
        <v>0.00907407407407407</v>
      </c>
      <c r="AF14" s="106">
        <f t="shared" si="23"/>
        <v>0.270815235746293</v>
      </c>
      <c r="AG14" s="106">
        <f t="shared" si="10"/>
        <v>0.000476715797430083</v>
      </c>
      <c r="AH14" s="106">
        <f t="shared" si="11"/>
        <v>-0.0132993121274052</v>
      </c>
      <c r="AI14" s="107">
        <f t="shared" si="24"/>
        <v>-0.0128225963299751</v>
      </c>
      <c r="AJ14" s="105">
        <f t="shared" si="25"/>
        <v>0.0466666666666667</v>
      </c>
      <c r="AK14" s="106">
        <f t="shared" si="26"/>
        <v>0.218829889489849</v>
      </c>
      <c r="AL14" s="106">
        <f t="shared" si="27"/>
        <v>0.0151666666666667</v>
      </c>
      <c r="AM14" s="106">
        <f t="shared" si="14"/>
        <v>0</v>
      </c>
      <c r="AN14" s="107">
        <f t="shared" si="28"/>
        <v>0.0151666666666667</v>
      </c>
      <c r="AO14" s="105">
        <f t="shared" si="15"/>
        <v>0.000733408919123205</v>
      </c>
      <c r="AP14" s="106">
        <f t="shared" si="16"/>
        <v>0.1512</v>
      </c>
      <c r="AQ14" s="107">
        <f t="shared" si="29"/>
        <v>0.0132</v>
      </c>
      <c r="AR14" s="105">
        <f t="shared" si="30"/>
        <v>0.167477479255815</v>
      </c>
      <c r="AS14" s="106">
        <f t="shared" si="31"/>
        <v>0.933333333333333</v>
      </c>
      <c r="AT14" s="107">
        <f t="shared" si="32"/>
        <v>84.7859888965024</v>
      </c>
    </row>
    <row r="15" spans="1:46">
      <c r="O15">
        <f>0.205*2.5/(Lm*Fsw)</f>
        <v>0.0732142857142857</v>
      </c>
      <c r="Q15">
        <v>8</v>
      </c>
      <c r="R15" s="105">
        <f t="shared" si="0"/>
        <v>20</v>
      </c>
      <c r="S15" s="106">
        <f t="shared" si="1"/>
        <v>0.0533333333333333</v>
      </c>
      <c r="T15" s="106">
        <f t="shared" si="2"/>
        <v>4</v>
      </c>
      <c r="U15" s="107">
        <f t="shared" si="3"/>
        <v>0.266666666666667</v>
      </c>
      <c r="V15" s="105">
        <f t="shared" si="4"/>
        <v>2</v>
      </c>
      <c r="W15" s="106">
        <f t="shared" si="5"/>
        <v>0.833333333333333</v>
      </c>
      <c r="X15" s="107">
        <f t="shared" si="6"/>
        <v>0.166666666666667</v>
      </c>
      <c r="Y15" s="105">
        <f t="shared" si="18"/>
        <v>0.476190476190476</v>
      </c>
      <c r="Z15" s="106">
        <f t="shared" si="8"/>
        <v>0.796190476190476</v>
      </c>
      <c r="AA15" s="106">
        <f t="shared" si="19"/>
        <v>0.300012597367156</v>
      </c>
      <c r="AB15" s="106">
        <v>0</v>
      </c>
      <c r="AC15" s="106">
        <f t="shared" si="20"/>
        <v>0.000900075585789871</v>
      </c>
      <c r="AD15" s="107">
        <f t="shared" si="21"/>
        <v>0.000900075585789871</v>
      </c>
      <c r="AE15" s="105">
        <f t="shared" si="22"/>
        <v>0.0118518518518519</v>
      </c>
      <c r="AF15" s="106">
        <f t="shared" si="23"/>
        <v>0.300012597367156</v>
      </c>
      <c r="AG15" s="106">
        <f t="shared" si="10"/>
        <v>0.000585049130763416</v>
      </c>
      <c r="AH15" s="106">
        <f t="shared" si="11"/>
        <v>-0.0151992138598916</v>
      </c>
      <c r="AI15" s="107">
        <f t="shared" si="24"/>
        <v>-0.0146141647291282</v>
      </c>
      <c r="AJ15" s="105">
        <f t="shared" si="25"/>
        <v>0.0533333333333333</v>
      </c>
      <c r="AK15" s="106">
        <f t="shared" si="26"/>
        <v>0.234651067989777</v>
      </c>
      <c r="AL15" s="106">
        <f t="shared" si="27"/>
        <v>0.0173333333333333</v>
      </c>
      <c r="AM15" s="106">
        <f t="shared" si="14"/>
        <v>0</v>
      </c>
      <c r="AN15" s="107">
        <f t="shared" si="28"/>
        <v>0.0173333333333333</v>
      </c>
      <c r="AO15" s="105">
        <f t="shared" si="15"/>
        <v>0.000900075585789871</v>
      </c>
      <c r="AP15" s="106">
        <f t="shared" si="16"/>
        <v>0.1512</v>
      </c>
      <c r="AQ15" s="107">
        <f t="shared" si="29"/>
        <v>0.0132</v>
      </c>
      <c r="AR15" s="105">
        <f t="shared" si="30"/>
        <v>0.168019244189995</v>
      </c>
      <c r="AS15" s="106">
        <f t="shared" si="31"/>
        <v>1.06666666666667</v>
      </c>
      <c r="AT15" s="107">
        <f t="shared" si="32"/>
        <v>86.391742003971</v>
      </c>
    </row>
    <row r="16" spans="1:46">
      <c r="Q16">
        <v>9</v>
      </c>
      <c r="R16" s="105">
        <f t="shared" si="0"/>
        <v>20</v>
      </c>
      <c r="S16" s="106">
        <f t="shared" si="1"/>
        <v>0.06</v>
      </c>
      <c r="T16" s="106">
        <f t="shared" si="2"/>
        <v>4</v>
      </c>
      <c r="U16" s="107">
        <f t="shared" si="3"/>
        <v>0.3</v>
      </c>
      <c r="V16" s="105">
        <f t="shared" si="4"/>
        <v>2</v>
      </c>
      <c r="W16" s="106">
        <f t="shared" si="5"/>
        <v>0.833333333333333</v>
      </c>
      <c r="X16" s="107">
        <f t="shared" si="6"/>
        <v>0.166666666666667</v>
      </c>
      <c r="Y16" s="105">
        <f t="shared" si="18"/>
        <v>0.476190476190476</v>
      </c>
      <c r="Z16" s="106">
        <f t="shared" si="8"/>
        <v>0.836190476190476</v>
      </c>
      <c r="AA16" s="106">
        <f t="shared" si="19"/>
        <v>0.329994617331671</v>
      </c>
      <c r="AB16" s="106">
        <v>0</v>
      </c>
      <c r="AC16" s="106">
        <f t="shared" si="20"/>
        <v>0.00108896447467876</v>
      </c>
      <c r="AD16" s="107">
        <f t="shared" si="21"/>
        <v>0.00108896447467876</v>
      </c>
      <c r="AE16" s="105">
        <f t="shared" si="22"/>
        <v>0.015</v>
      </c>
      <c r="AF16" s="106">
        <f t="shared" si="23"/>
        <v>0.329994617331671</v>
      </c>
      <c r="AG16" s="106">
        <f t="shared" si="10"/>
        <v>0.000707826908541194</v>
      </c>
      <c r="AH16" s="106">
        <f t="shared" si="11"/>
        <v>-0.0170991155923781</v>
      </c>
      <c r="AI16" s="107">
        <f t="shared" si="24"/>
        <v>-0.0163912886838369</v>
      </c>
      <c r="AJ16" s="105">
        <f t="shared" si="25"/>
        <v>0.06</v>
      </c>
      <c r="AK16" s="106">
        <f t="shared" si="26"/>
        <v>0.250537542529417</v>
      </c>
      <c r="AL16" s="106">
        <f t="shared" si="27"/>
        <v>0.0195</v>
      </c>
      <c r="AM16" s="106">
        <f t="shared" si="14"/>
        <v>0</v>
      </c>
      <c r="AN16" s="107">
        <f t="shared" si="28"/>
        <v>0.0195</v>
      </c>
      <c r="AO16" s="105">
        <f t="shared" si="15"/>
        <v>0.00108896447467876</v>
      </c>
      <c r="AP16" s="106">
        <f t="shared" si="16"/>
        <v>0.1512</v>
      </c>
      <c r="AQ16" s="107">
        <f t="shared" si="29"/>
        <v>0.0132</v>
      </c>
      <c r="AR16" s="105">
        <f t="shared" si="30"/>
        <v>0.168597675790842</v>
      </c>
      <c r="AS16" s="106">
        <f t="shared" si="31"/>
        <v>1.2</v>
      </c>
      <c r="AT16" s="107">
        <f t="shared" si="32"/>
        <v>87.6809906393113</v>
      </c>
    </row>
    <row r="17" spans="17:46">
      <c r="Q17">
        <v>10</v>
      </c>
      <c r="R17" s="105">
        <f t="shared" si="0"/>
        <v>20</v>
      </c>
      <c r="S17" s="106">
        <f t="shared" si="1"/>
        <v>0.0666666666666667</v>
      </c>
      <c r="T17" s="106">
        <f t="shared" si="2"/>
        <v>4</v>
      </c>
      <c r="U17" s="107">
        <f t="shared" si="3"/>
        <v>0.333333333333333</v>
      </c>
      <c r="V17" s="105">
        <f t="shared" si="4"/>
        <v>2</v>
      </c>
      <c r="W17" s="106">
        <f t="shared" si="5"/>
        <v>0.833333333333333</v>
      </c>
      <c r="X17" s="107">
        <f t="shared" si="6"/>
        <v>0.166666666666667</v>
      </c>
      <c r="Y17" s="105">
        <f t="shared" si="18"/>
        <v>0.476190476190476</v>
      </c>
      <c r="Z17" s="106">
        <f t="shared" si="8"/>
        <v>0.876190476190476</v>
      </c>
      <c r="AA17" s="106">
        <f t="shared" si="19"/>
        <v>0.36056560925716</v>
      </c>
      <c r="AB17" s="106">
        <v>0</v>
      </c>
      <c r="AC17" s="106">
        <f t="shared" si="20"/>
        <v>0.00130007558578987</v>
      </c>
      <c r="AD17" s="107">
        <f t="shared" si="21"/>
        <v>0.00130007558578987</v>
      </c>
      <c r="AE17" s="105">
        <f t="shared" si="22"/>
        <v>0.0185185185185185</v>
      </c>
      <c r="AF17" s="106">
        <f t="shared" si="23"/>
        <v>0.36056560925716</v>
      </c>
      <c r="AG17" s="106">
        <f t="shared" si="10"/>
        <v>0.000845049130763416</v>
      </c>
      <c r="AH17" s="106">
        <f t="shared" si="11"/>
        <v>-0.0189990173248645</v>
      </c>
      <c r="AI17" s="107">
        <f t="shared" si="24"/>
        <v>-0.0181539681941011</v>
      </c>
      <c r="AJ17" s="105">
        <f t="shared" si="25"/>
        <v>0.0666666666666667</v>
      </c>
      <c r="AK17" s="106">
        <f t="shared" si="26"/>
        <v>0.266477635192804</v>
      </c>
      <c r="AL17" s="106">
        <f t="shared" si="27"/>
        <v>0.0216666666666667</v>
      </c>
      <c r="AM17" s="106">
        <f t="shared" si="14"/>
        <v>0</v>
      </c>
      <c r="AN17" s="107">
        <f t="shared" si="28"/>
        <v>0.0216666666666667</v>
      </c>
      <c r="AO17" s="105">
        <f t="shared" si="15"/>
        <v>0.00130007558578987</v>
      </c>
      <c r="AP17" s="106">
        <f t="shared" si="16"/>
        <v>0.1512</v>
      </c>
      <c r="AQ17" s="107">
        <f t="shared" si="29"/>
        <v>0.0132</v>
      </c>
      <c r="AR17" s="105">
        <f t="shared" si="30"/>
        <v>0.169212774058355</v>
      </c>
      <c r="AS17" s="106">
        <f t="shared" si="31"/>
        <v>1.33333333333333</v>
      </c>
      <c r="AT17" s="107">
        <f t="shared" si="32"/>
        <v>88.7382641220843</v>
      </c>
    </row>
    <row r="18" spans="17:46">
      <c r="Q18">
        <v>11</v>
      </c>
      <c r="R18" s="105">
        <f t="shared" si="0"/>
        <v>20</v>
      </c>
      <c r="S18" s="106">
        <f t="shared" si="1"/>
        <v>0.0733333333333333</v>
      </c>
      <c r="T18" s="106">
        <f t="shared" si="2"/>
        <v>4</v>
      </c>
      <c r="U18" s="107">
        <f t="shared" si="3"/>
        <v>0.366666666666667</v>
      </c>
      <c r="V18" s="105">
        <f t="shared" si="4"/>
        <v>2</v>
      </c>
      <c r="W18" s="106">
        <f t="shared" si="5"/>
        <v>0.833333333333333</v>
      </c>
      <c r="X18" s="107">
        <f t="shared" si="6"/>
        <v>0.166666666666667</v>
      </c>
      <c r="Y18" s="105">
        <f t="shared" si="18"/>
        <v>0.476190476190476</v>
      </c>
      <c r="Z18" s="106">
        <f t="shared" si="8"/>
        <v>0.916190476190476</v>
      </c>
      <c r="AA18" s="106">
        <f t="shared" si="19"/>
        <v>0.391587655464674</v>
      </c>
      <c r="AB18" s="106">
        <v>0</v>
      </c>
      <c r="AC18" s="106">
        <f t="shared" si="20"/>
        <v>0.00153340891912321</v>
      </c>
      <c r="AD18" s="107">
        <f t="shared" si="21"/>
        <v>0.00153340891912321</v>
      </c>
      <c r="AE18" s="105">
        <f t="shared" si="22"/>
        <v>0.0224074074074074</v>
      </c>
      <c r="AF18" s="106">
        <f t="shared" si="23"/>
        <v>0.391587655464674</v>
      </c>
      <c r="AG18" s="106">
        <f t="shared" si="10"/>
        <v>0.000996715797430083</v>
      </c>
      <c r="AH18" s="106">
        <f t="shared" si="11"/>
        <v>-0.020898919057351</v>
      </c>
      <c r="AI18" s="107">
        <f t="shared" si="24"/>
        <v>-0.0199022032599209</v>
      </c>
      <c r="AJ18" s="105">
        <f t="shared" si="25"/>
        <v>0.0733333333333333</v>
      </c>
      <c r="AK18" s="106">
        <f t="shared" si="26"/>
        <v>0.282462268688319</v>
      </c>
      <c r="AL18" s="106">
        <f t="shared" si="27"/>
        <v>0.0238333333333333</v>
      </c>
      <c r="AM18" s="106">
        <f t="shared" si="14"/>
        <v>0</v>
      </c>
      <c r="AN18" s="107">
        <f t="shared" si="28"/>
        <v>0.0238333333333333</v>
      </c>
      <c r="AO18" s="105">
        <f t="shared" si="15"/>
        <v>0.00153340891912321</v>
      </c>
      <c r="AP18" s="106">
        <f t="shared" si="16"/>
        <v>0.1512</v>
      </c>
      <c r="AQ18" s="107">
        <f t="shared" si="29"/>
        <v>0.0132</v>
      </c>
      <c r="AR18" s="105">
        <f t="shared" si="30"/>
        <v>0.169864538992536</v>
      </c>
      <c r="AS18" s="106">
        <f t="shared" si="31"/>
        <v>1.46666666666667</v>
      </c>
      <c r="AT18" s="107">
        <f t="shared" si="32"/>
        <v>89.6204521853824</v>
      </c>
    </row>
    <row r="19" spans="17:46">
      <c r="Q19">
        <v>12</v>
      </c>
      <c r="R19" s="105">
        <f t="shared" si="0"/>
        <v>20</v>
      </c>
      <c r="S19" s="106">
        <f t="shared" si="1"/>
        <v>0.08</v>
      </c>
      <c r="T19" s="106">
        <f t="shared" si="2"/>
        <v>4</v>
      </c>
      <c r="U19" s="107">
        <f t="shared" si="3"/>
        <v>0.4</v>
      </c>
      <c r="V19" s="105">
        <f t="shared" si="4"/>
        <v>2</v>
      </c>
      <c r="W19" s="106">
        <f t="shared" si="5"/>
        <v>0.833333333333333</v>
      </c>
      <c r="X19" s="107">
        <f t="shared" si="6"/>
        <v>0.166666666666667</v>
      </c>
      <c r="Y19" s="105">
        <f t="shared" si="18"/>
        <v>0.476190476190476</v>
      </c>
      <c r="Z19" s="106">
        <f t="shared" si="8"/>
        <v>0.956190476190476</v>
      </c>
      <c r="AA19" s="106">
        <f t="shared" si="19"/>
        <v>0.422961520079399</v>
      </c>
      <c r="AB19" s="106">
        <v>0</v>
      </c>
      <c r="AC19" s="106">
        <f t="shared" si="20"/>
        <v>0.00178896447467876</v>
      </c>
      <c r="AD19" s="107">
        <f t="shared" si="21"/>
        <v>0.00178896447467876</v>
      </c>
      <c r="AE19" s="105">
        <f t="shared" si="22"/>
        <v>0.0266666666666667</v>
      </c>
      <c r="AF19" s="106">
        <f t="shared" si="23"/>
        <v>0.422961520079399</v>
      </c>
      <c r="AG19" s="106">
        <f t="shared" si="10"/>
        <v>0.00116282690854119</v>
      </c>
      <c r="AH19" s="106">
        <f t="shared" si="11"/>
        <v>-0.0227988207898374</v>
      </c>
      <c r="AI19" s="107">
        <f t="shared" si="24"/>
        <v>-0.0216359938812963</v>
      </c>
      <c r="AJ19" s="105">
        <f t="shared" si="25"/>
        <v>0.08</v>
      </c>
      <c r="AK19" s="106">
        <f t="shared" si="26"/>
        <v>0.298484287258959</v>
      </c>
      <c r="AL19" s="106">
        <f t="shared" si="27"/>
        <v>0.026</v>
      </c>
      <c r="AM19" s="106">
        <f t="shared" si="14"/>
        <v>0</v>
      </c>
      <c r="AN19" s="107">
        <f t="shared" si="28"/>
        <v>0.026</v>
      </c>
      <c r="AO19" s="105">
        <f t="shared" si="15"/>
        <v>0.00178896447467876</v>
      </c>
      <c r="AP19" s="106">
        <f t="shared" si="16"/>
        <v>0.1512</v>
      </c>
      <c r="AQ19" s="107">
        <f t="shared" si="29"/>
        <v>0.0132</v>
      </c>
      <c r="AR19" s="105">
        <f t="shared" si="30"/>
        <v>0.170552970593383</v>
      </c>
      <c r="AS19" s="106">
        <f t="shared" si="31"/>
        <v>1.6</v>
      </c>
      <c r="AT19" s="107">
        <f t="shared" si="32"/>
        <v>90.3672483441022</v>
      </c>
    </row>
    <row r="20" spans="17:46">
      <c r="Q20">
        <v>13</v>
      </c>
      <c r="R20" s="105">
        <f t="shared" si="0"/>
        <v>20</v>
      </c>
      <c r="S20" s="106">
        <f t="shared" si="1"/>
        <v>0.0866666666666667</v>
      </c>
      <c r="T20" s="106">
        <f t="shared" si="2"/>
        <v>4</v>
      </c>
      <c r="U20" s="107">
        <f t="shared" si="3"/>
        <v>0.433333333333333</v>
      </c>
      <c r="V20" s="105">
        <f t="shared" si="4"/>
        <v>2</v>
      </c>
      <c r="W20" s="106">
        <f t="shared" si="5"/>
        <v>0.833333333333333</v>
      </c>
      <c r="X20" s="107">
        <f t="shared" si="6"/>
        <v>0.166666666666667</v>
      </c>
      <c r="Y20" s="105">
        <f t="shared" si="18"/>
        <v>0.476190476190476</v>
      </c>
      <c r="Z20" s="106">
        <f t="shared" ref="Z20:Z71" si="33">CHOOSE(V20,Y20,U20+S20+(Y20))</f>
        <v>0.996190476190476</v>
      </c>
      <c r="AA20" s="106">
        <f t="shared" si="19"/>
        <v>0.4546143698187</v>
      </c>
      <c r="AB20" s="106">
        <v>0</v>
      </c>
      <c r="AC20" s="106">
        <f t="shared" si="20"/>
        <v>0.00206674225245654</v>
      </c>
      <c r="AD20" s="107">
        <f t="shared" si="21"/>
        <v>0.00206674225245654</v>
      </c>
      <c r="AE20" s="105">
        <f t="shared" si="22"/>
        <v>0.0312962962962963</v>
      </c>
      <c r="AF20" s="106">
        <f t="shared" si="23"/>
        <v>0.4546143698187</v>
      </c>
      <c r="AG20" s="106">
        <f t="shared" si="10"/>
        <v>0.00134338246409675</v>
      </c>
      <c r="AH20" s="106">
        <f t="shared" si="11"/>
        <v>-0.0246987225223239</v>
      </c>
      <c r="AI20" s="107">
        <f t="shared" si="24"/>
        <v>-0.0233553400582271</v>
      </c>
      <c r="AJ20" s="105">
        <f t="shared" si="25"/>
        <v>0.0866666666666667</v>
      </c>
      <c r="AK20" s="106">
        <f t="shared" si="26"/>
        <v>0.314537977964122</v>
      </c>
      <c r="AL20" s="106">
        <f t="shared" si="27"/>
        <v>0.0281666666666667</v>
      </c>
      <c r="AM20" s="106">
        <f t="shared" si="14"/>
        <v>0</v>
      </c>
      <c r="AN20" s="107">
        <f t="shared" si="28"/>
        <v>0.0281666666666667</v>
      </c>
      <c r="AO20" s="105">
        <f t="shared" si="15"/>
        <v>0.00206674225245654</v>
      </c>
      <c r="AP20" s="106">
        <f t="shared" si="16"/>
        <v>0.1512</v>
      </c>
      <c r="AQ20" s="107">
        <f t="shared" si="29"/>
        <v>0.0132</v>
      </c>
      <c r="AR20" s="105">
        <f t="shared" si="30"/>
        <v>0.171278068860896</v>
      </c>
      <c r="AS20" s="106">
        <f t="shared" si="31"/>
        <v>1.73333333333333</v>
      </c>
      <c r="AT20" s="107">
        <f t="shared" si="32"/>
        <v>91.0071908283457</v>
      </c>
    </row>
    <row r="21" spans="17:46">
      <c r="Q21">
        <v>14</v>
      </c>
      <c r="R21" s="105">
        <f t="shared" si="0"/>
        <v>20</v>
      </c>
      <c r="S21" s="106">
        <f t="shared" si="1"/>
        <v>0.0933333333333333</v>
      </c>
      <c r="T21" s="106">
        <f t="shared" si="2"/>
        <v>4</v>
      </c>
      <c r="U21" s="107">
        <f t="shared" si="3"/>
        <v>0.466666666666667</v>
      </c>
      <c r="V21" s="105">
        <f t="shared" si="4"/>
        <v>2</v>
      </c>
      <c r="W21" s="106">
        <f t="shared" si="5"/>
        <v>0.833333333333333</v>
      </c>
      <c r="X21" s="107">
        <f t="shared" si="6"/>
        <v>0.166666666666667</v>
      </c>
      <c r="Y21" s="105">
        <f t="shared" si="18"/>
        <v>0.476190476190476</v>
      </c>
      <c r="Z21" s="106">
        <f t="shared" si="33"/>
        <v>1.03619047619048</v>
      </c>
      <c r="AA21" s="106">
        <f t="shared" si="19"/>
        <v>0.486491752494997</v>
      </c>
      <c r="AB21" s="106">
        <v>0</v>
      </c>
      <c r="AC21" s="106">
        <f t="shared" si="20"/>
        <v>0.00236674225245654</v>
      </c>
      <c r="AD21" s="107">
        <f t="shared" si="21"/>
        <v>0.00236674225245654</v>
      </c>
      <c r="AE21" s="105">
        <f t="shared" si="22"/>
        <v>0.0362962962962963</v>
      </c>
      <c r="AF21" s="106">
        <f t="shared" si="23"/>
        <v>0.486491752494997</v>
      </c>
      <c r="AG21" s="106">
        <f t="shared" si="10"/>
        <v>0.00153838246409675</v>
      </c>
      <c r="AH21" s="106">
        <f t="shared" si="11"/>
        <v>-0.0265986242548104</v>
      </c>
      <c r="AI21" s="107">
        <f t="shared" si="24"/>
        <v>-0.0250602417907136</v>
      </c>
      <c r="AJ21" s="105">
        <f t="shared" si="25"/>
        <v>0.0933333333333333</v>
      </c>
      <c r="AK21" s="106">
        <f t="shared" si="26"/>
        <v>0.330618727171287</v>
      </c>
      <c r="AL21" s="106">
        <f t="shared" si="27"/>
        <v>0.0303333333333333</v>
      </c>
      <c r="AM21" s="106">
        <f t="shared" si="14"/>
        <v>0</v>
      </c>
      <c r="AN21" s="107">
        <f t="shared" si="28"/>
        <v>0.0303333333333333</v>
      </c>
      <c r="AO21" s="105">
        <f t="shared" si="15"/>
        <v>0.00236674225245654</v>
      </c>
      <c r="AP21" s="106">
        <f t="shared" si="16"/>
        <v>0.1512</v>
      </c>
      <c r="AQ21" s="107">
        <f t="shared" si="29"/>
        <v>0.0132</v>
      </c>
      <c r="AR21" s="105">
        <f t="shared" si="30"/>
        <v>0.172039833795076</v>
      </c>
      <c r="AS21" s="106">
        <f t="shared" si="31"/>
        <v>1.86666666666667</v>
      </c>
      <c r="AT21" s="107">
        <f t="shared" si="32"/>
        <v>91.5613241162418</v>
      </c>
    </row>
    <row r="22" spans="17:46">
      <c r="Q22">
        <v>15</v>
      </c>
      <c r="R22" s="105">
        <f t="shared" si="0"/>
        <v>20</v>
      </c>
      <c r="S22" s="106">
        <f t="shared" si="1"/>
        <v>0.1</v>
      </c>
      <c r="T22" s="106">
        <f t="shared" si="2"/>
        <v>4</v>
      </c>
      <c r="U22" s="107">
        <f t="shared" si="3"/>
        <v>0.5</v>
      </c>
      <c r="V22" s="105">
        <f t="shared" si="4"/>
        <v>2</v>
      </c>
      <c r="W22" s="106">
        <f t="shared" si="5"/>
        <v>0.833333333333333</v>
      </c>
      <c r="X22" s="107">
        <f t="shared" si="6"/>
        <v>0.166666666666667</v>
      </c>
      <c r="Y22" s="105">
        <f t="shared" si="18"/>
        <v>0.476190476190476</v>
      </c>
      <c r="Z22" s="106">
        <f t="shared" si="33"/>
        <v>1.07619047619048</v>
      </c>
      <c r="AA22" s="106">
        <f t="shared" si="19"/>
        <v>0.518552261076814</v>
      </c>
      <c r="AB22" s="106">
        <v>0</v>
      </c>
      <c r="AC22" s="106">
        <f t="shared" si="20"/>
        <v>0.00268896447467876</v>
      </c>
      <c r="AD22" s="107">
        <f t="shared" si="21"/>
        <v>0.00268896447467876</v>
      </c>
      <c r="AE22" s="105">
        <f t="shared" si="22"/>
        <v>0.0416666666666667</v>
      </c>
      <c r="AF22" s="106">
        <f t="shared" si="23"/>
        <v>0.518552261076814</v>
      </c>
      <c r="AG22" s="106">
        <f t="shared" si="10"/>
        <v>0.00174782690854119</v>
      </c>
      <c r="AH22" s="106">
        <f t="shared" si="11"/>
        <v>-0.0284985259872968</v>
      </c>
      <c r="AI22" s="107">
        <f t="shared" si="24"/>
        <v>-0.0267506990787556</v>
      </c>
      <c r="AJ22" s="105">
        <f t="shared" si="25"/>
        <v>0.1</v>
      </c>
      <c r="AK22" s="106">
        <f t="shared" si="26"/>
        <v>0.346722770040126</v>
      </c>
      <c r="AL22" s="106">
        <f t="shared" si="27"/>
        <v>0.0325</v>
      </c>
      <c r="AM22" s="106">
        <f t="shared" si="14"/>
        <v>0</v>
      </c>
      <c r="AN22" s="107">
        <f t="shared" si="28"/>
        <v>0.0325</v>
      </c>
      <c r="AO22" s="105">
        <f t="shared" si="15"/>
        <v>0.00268896447467876</v>
      </c>
      <c r="AP22" s="106">
        <f t="shared" si="16"/>
        <v>0.1512</v>
      </c>
      <c r="AQ22" s="107">
        <f t="shared" si="29"/>
        <v>0.0132</v>
      </c>
      <c r="AR22" s="105">
        <f t="shared" si="30"/>
        <v>0.172838265395923</v>
      </c>
      <c r="AS22" s="106">
        <f t="shared" si="31"/>
        <v>2</v>
      </c>
      <c r="AT22" s="107">
        <f t="shared" si="32"/>
        <v>92.0455071070635</v>
      </c>
    </row>
    <row r="23" spans="17:46">
      <c r="Q23">
        <v>16</v>
      </c>
      <c r="R23" s="105">
        <f t="shared" si="0"/>
        <v>20</v>
      </c>
      <c r="S23" s="106">
        <f t="shared" si="1"/>
        <v>0.106666666666667</v>
      </c>
      <c r="T23" s="106">
        <f t="shared" si="2"/>
        <v>4</v>
      </c>
      <c r="U23" s="107">
        <f t="shared" si="3"/>
        <v>0.533333333333333</v>
      </c>
      <c r="V23" s="105">
        <f t="shared" si="4"/>
        <v>2</v>
      </c>
      <c r="W23" s="106">
        <f t="shared" si="5"/>
        <v>0.833333333333333</v>
      </c>
      <c r="X23" s="107">
        <f t="shared" si="6"/>
        <v>0.166666666666667</v>
      </c>
      <c r="Y23" s="105">
        <f t="shared" si="18"/>
        <v>0.476190476190476</v>
      </c>
      <c r="Z23" s="106">
        <f t="shared" si="33"/>
        <v>1.11619047619048</v>
      </c>
      <c r="AA23" s="106">
        <f t="shared" si="19"/>
        <v>0.55076391667603</v>
      </c>
      <c r="AB23" s="106">
        <v>0</v>
      </c>
      <c r="AC23" s="106">
        <f t="shared" si="20"/>
        <v>0.00303340891912321</v>
      </c>
      <c r="AD23" s="107">
        <f t="shared" si="21"/>
        <v>0.00303340891912321</v>
      </c>
      <c r="AE23" s="105">
        <f t="shared" si="22"/>
        <v>0.0474074074074074</v>
      </c>
      <c r="AF23" s="106">
        <f t="shared" si="23"/>
        <v>0.55076391667603</v>
      </c>
      <c r="AG23" s="106">
        <f t="shared" si="10"/>
        <v>0.00197171579743008</v>
      </c>
      <c r="AH23" s="106">
        <f t="shared" si="11"/>
        <v>-0.0303984277197833</v>
      </c>
      <c r="AI23" s="107">
        <f t="shared" si="24"/>
        <v>-0.0284267119223532</v>
      </c>
      <c r="AJ23" s="105">
        <f t="shared" si="25"/>
        <v>0.106666666666667</v>
      </c>
      <c r="AK23" s="106">
        <f t="shared" si="26"/>
        <v>0.362847005093839</v>
      </c>
      <c r="AL23" s="106">
        <f t="shared" si="27"/>
        <v>0.0346666666666667</v>
      </c>
      <c r="AM23" s="106">
        <f t="shared" si="14"/>
        <v>0</v>
      </c>
      <c r="AN23" s="107">
        <f t="shared" si="28"/>
        <v>0.0346666666666667</v>
      </c>
      <c r="AO23" s="105">
        <f t="shared" si="15"/>
        <v>0.00303340891912321</v>
      </c>
      <c r="AP23" s="106">
        <f t="shared" si="16"/>
        <v>0.1512</v>
      </c>
      <c r="AQ23" s="107">
        <f t="shared" si="29"/>
        <v>0.0132</v>
      </c>
      <c r="AR23" s="105">
        <f t="shared" si="30"/>
        <v>0.173673363663437</v>
      </c>
      <c r="AS23" s="106">
        <f t="shared" si="31"/>
        <v>2.13333333333333</v>
      </c>
      <c r="AT23" s="107">
        <f t="shared" si="32"/>
        <v>92.4719176632854</v>
      </c>
    </row>
    <row r="24" spans="17:46">
      <c r="Q24">
        <v>17</v>
      </c>
      <c r="R24" s="105">
        <f t="shared" si="0"/>
        <v>20</v>
      </c>
      <c r="S24" s="106">
        <f t="shared" si="1"/>
        <v>0.113333333333333</v>
      </c>
      <c r="T24" s="106">
        <f t="shared" si="2"/>
        <v>4</v>
      </c>
      <c r="U24" s="107">
        <f t="shared" si="3"/>
        <v>0.566666666666667</v>
      </c>
      <c r="V24" s="105">
        <f t="shared" si="4"/>
        <v>2</v>
      </c>
      <c r="W24" s="106">
        <f t="shared" si="5"/>
        <v>0.833333333333333</v>
      </c>
      <c r="X24" s="107">
        <f t="shared" si="6"/>
        <v>0.166666666666667</v>
      </c>
      <c r="Y24" s="105">
        <f t="shared" si="18"/>
        <v>0.476190476190476</v>
      </c>
      <c r="Z24" s="106">
        <f t="shared" si="33"/>
        <v>1.15619047619048</v>
      </c>
      <c r="AA24" s="106">
        <f t="shared" si="19"/>
        <v>0.583101670876518</v>
      </c>
      <c r="AB24" s="106">
        <v>0</v>
      </c>
      <c r="AC24" s="106">
        <f t="shared" si="20"/>
        <v>0.00340007558578987</v>
      </c>
      <c r="AD24" s="107">
        <f t="shared" si="21"/>
        <v>0.00340007558578987</v>
      </c>
      <c r="AE24" s="105">
        <f t="shared" si="22"/>
        <v>0.0535185185185185</v>
      </c>
      <c r="AF24" s="106">
        <f t="shared" si="23"/>
        <v>0.583101670876518</v>
      </c>
      <c r="AG24" s="106">
        <f t="shared" si="10"/>
        <v>0.00221004913076342</v>
      </c>
      <c r="AH24" s="106">
        <f t="shared" si="11"/>
        <v>-0.0322983294522697</v>
      </c>
      <c r="AI24" s="107">
        <f t="shared" si="24"/>
        <v>-0.0300882803215063</v>
      </c>
      <c r="AJ24" s="105">
        <f t="shared" si="25"/>
        <v>0.113333333333333</v>
      </c>
      <c r="AK24" s="106">
        <f t="shared" si="26"/>
        <v>0.378988855087021</v>
      </c>
      <c r="AL24" s="106">
        <f t="shared" si="27"/>
        <v>0.0368333333333333</v>
      </c>
      <c r="AM24" s="106">
        <f t="shared" si="14"/>
        <v>0</v>
      </c>
      <c r="AN24" s="107">
        <f t="shared" si="28"/>
        <v>0.0368333333333333</v>
      </c>
      <c r="AO24" s="105">
        <f t="shared" si="15"/>
        <v>0.00340007558578987</v>
      </c>
      <c r="AP24" s="106">
        <f t="shared" si="16"/>
        <v>0.1512</v>
      </c>
      <c r="AQ24" s="107">
        <f t="shared" si="29"/>
        <v>0.0132</v>
      </c>
      <c r="AR24" s="105">
        <f t="shared" si="30"/>
        <v>0.174545128597617</v>
      </c>
      <c r="AS24" s="106">
        <f t="shared" si="31"/>
        <v>2.26666666666667</v>
      </c>
      <c r="AT24" s="107">
        <f t="shared" si="32"/>
        <v>92.8500620496666</v>
      </c>
    </row>
    <row r="25" spans="17:46">
      <c r="Q25">
        <v>18</v>
      </c>
      <c r="R25" s="105">
        <f t="shared" si="0"/>
        <v>20</v>
      </c>
      <c r="S25" s="106">
        <f t="shared" si="1"/>
        <v>0.12</v>
      </c>
      <c r="T25" s="106">
        <f t="shared" si="2"/>
        <v>4</v>
      </c>
      <c r="U25" s="107">
        <f t="shared" si="3"/>
        <v>0.6</v>
      </c>
      <c r="V25" s="105">
        <f t="shared" si="4"/>
        <v>2</v>
      </c>
      <c r="W25" s="106">
        <f t="shared" si="5"/>
        <v>0.833333333333333</v>
      </c>
      <c r="X25" s="107">
        <f t="shared" si="6"/>
        <v>0.166666666666667</v>
      </c>
      <c r="Y25" s="105">
        <f t="shared" si="18"/>
        <v>0.476190476190476</v>
      </c>
      <c r="Z25" s="106">
        <f t="shared" si="33"/>
        <v>1.19619047619048</v>
      </c>
      <c r="AA25" s="106">
        <f t="shared" si="19"/>
        <v>0.615545650190038</v>
      </c>
      <c r="AB25" s="106">
        <v>0</v>
      </c>
      <c r="AC25" s="106">
        <f t="shared" si="20"/>
        <v>0.00378896447467876</v>
      </c>
      <c r="AD25" s="107">
        <f t="shared" si="21"/>
        <v>0.00378896447467876</v>
      </c>
      <c r="AE25" s="105">
        <f t="shared" si="22"/>
        <v>0.06</v>
      </c>
      <c r="AF25" s="106">
        <f t="shared" si="23"/>
        <v>0.615545650190038</v>
      </c>
      <c r="AG25" s="106">
        <f t="shared" si="10"/>
        <v>0.00246282690854119</v>
      </c>
      <c r="AH25" s="106">
        <f t="shared" si="11"/>
        <v>-0.0341982311847562</v>
      </c>
      <c r="AI25" s="107">
        <f t="shared" si="24"/>
        <v>-0.031735404276215</v>
      </c>
      <c r="AJ25" s="105">
        <f t="shared" si="25"/>
        <v>0.12</v>
      </c>
      <c r="AK25" s="106">
        <f t="shared" si="26"/>
        <v>0.395146161297447</v>
      </c>
      <c r="AL25" s="106">
        <f t="shared" si="27"/>
        <v>0.039</v>
      </c>
      <c r="AM25" s="106">
        <f t="shared" si="14"/>
        <v>0</v>
      </c>
      <c r="AN25" s="107">
        <f t="shared" si="28"/>
        <v>0.039</v>
      </c>
      <c r="AO25" s="105">
        <f t="shared" si="15"/>
        <v>0.00378896447467876</v>
      </c>
      <c r="AP25" s="106">
        <f t="shared" si="16"/>
        <v>0.1512</v>
      </c>
      <c r="AQ25" s="107">
        <f t="shared" si="29"/>
        <v>0.0132</v>
      </c>
      <c r="AR25" s="105">
        <f t="shared" si="30"/>
        <v>0.175453560198464</v>
      </c>
      <c r="AS25" s="106">
        <f t="shared" si="31"/>
        <v>2.4</v>
      </c>
      <c r="AT25" s="107">
        <f t="shared" si="32"/>
        <v>93.1874694651864</v>
      </c>
    </row>
    <row r="26" spans="17:46">
      <c r="Q26">
        <v>19</v>
      </c>
      <c r="R26" s="105">
        <f t="shared" si="0"/>
        <v>20</v>
      </c>
      <c r="S26" s="106">
        <f t="shared" si="1"/>
        <v>0.126666666666667</v>
      </c>
      <c r="T26" s="106">
        <f t="shared" si="2"/>
        <v>4</v>
      </c>
      <c r="U26" s="107">
        <f t="shared" si="3"/>
        <v>0.633333333333333</v>
      </c>
      <c r="V26" s="105">
        <f t="shared" si="4"/>
        <v>2</v>
      </c>
      <c r="W26" s="106">
        <f t="shared" si="5"/>
        <v>0.833333333333333</v>
      </c>
      <c r="X26" s="107">
        <f t="shared" si="6"/>
        <v>0.166666666666667</v>
      </c>
      <c r="Y26" s="105">
        <f t="shared" si="18"/>
        <v>0.476190476190476</v>
      </c>
      <c r="Z26" s="106">
        <f t="shared" si="33"/>
        <v>1.23619047619048</v>
      </c>
      <c r="AA26" s="106">
        <f t="shared" si="19"/>
        <v>0.648079901384843</v>
      </c>
      <c r="AB26" s="106">
        <v>0</v>
      </c>
      <c r="AC26" s="106">
        <f t="shared" si="20"/>
        <v>0.00420007558578987</v>
      </c>
      <c r="AD26" s="107">
        <f t="shared" si="21"/>
        <v>0.00420007558578987</v>
      </c>
      <c r="AE26" s="105">
        <f t="shared" si="22"/>
        <v>0.0668518518518519</v>
      </c>
      <c r="AF26" s="106">
        <f t="shared" si="23"/>
        <v>0.648079901384843</v>
      </c>
      <c r="AG26" s="106">
        <f t="shared" si="10"/>
        <v>0.00273004913076342</v>
      </c>
      <c r="AH26" s="106">
        <f t="shared" si="11"/>
        <v>-0.0360981329172426</v>
      </c>
      <c r="AI26" s="107">
        <f t="shared" si="24"/>
        <v>-0.0333680837864792</v>
      </c>
      <c r="AJ26" s="105">
        <f t="shared" si="25"/>
        <v>0.126666666666667</v>
      </c>
      <c r="AK26" s="106">
        <f t="shared" si="26"/>
        <v>0.411317102281655</v>
      </c>
      <c r="AL26" s="106">
        <f t="shared" si="27"/>
        <v>0.0411666666666667</v>
      </c>
      <c r="AM26" s="106">
        <f t="shared" si="14"/>
        <v>0</v>
      </c>
      <c r="AN26" s="107">
        <f t="shared" si="28"/>
        <v>0.0411666666666667</v>
      </c>
      <c r="AO26" s="105">
        <f t="shared" si="15"/>
        <v>0.00420007558578987</v>
      </c>
      <c r="AP26" s="106">
        <f t="shared" si="16"/>
        <v>0.1512</v>
      </c>
      <c r="AQ26" s="107">
        <f t="shared" si="29"/>
        <v>0.0132</v>
      </c>
      <c r="AR26" s="105">
        <f t="shared" si="30"/>
        <v>0.176398658465977</v>
      </c>
      <c r="AS26" s="106">
        <f t="shared" si="31"/>
        <v>2.53333333333333</v>
      </c>
      <c r="AT26" s="107">
        <f t="shared" si="32"/>
        <v>93.490180615654</v>
      </c>
    </row>
    <row r="27" spans="17:46">
      <c r="Q27">
        <v>20</v>
      </c>
      <c r="R27" s="105">
        <f t="shared" si="0"/>
        <v>20</v>
      </c>
      <c r="S27" s="106">
        <f t="shared" si="1"/>
        <v>0.133333333333333</v>
      </c>
      <c r="T27" s="106">
        <f t="shared" si="2"/>
        <v>4</v>
      </c>
      <c r="U27" s="107">
        <f t="shared" si="3"/>
        <v>0.666666666666667</v>
      </c>
      <c r="V27" s="105">
        <f t="shared" si="4"/>
        <v>2</v>
      </c>
      <c r="W27" s="106">
        <f t="shared" si="5"/>
        <v>0.833333333333333</v>
      </c>
      <c r="X27" s="107">
        <f t="shared" si="6"/>
        <v>0.166666666666667</v>
      </c>
      <c r="Y27" s="105">
        <f t="shared" si="18"/>
        <v>0.476190476190476</v>
      </c>
      <c r="Z27" s="106">
        <f t="shared" si="33"/>
        <v>1.27619047619048</v>
      </c>
      <c r="AA27" s="106">
        <f t="shared" si="19"/>
        <v>0.680691480710843</v>
      </c>
      <c r="AB27" s="106">
        <v>0</v>
      </c>
      <c r="AC27" s="106">
        <f t="shared" si="20"/>
        <v>0.0046334089191232</v>
      </c>
      <c r="AD27" s="107">
        <f t="shared" si="21"/>
        <v>0.0046334089191232</v>
      </c>
      <c r="AE27" s="105">
        <f t="shared" si="22"/>
        <v>0.0740740740740741</v>
      </c>
      <c r="AF27" s="106">
        <f t="shared" si="23"/>
        <v>0.680691480710843</v>
      </c>
      <c r="AG27" s="106">
        <f t="shared" si="10"/>
        <v>0.00301171579743008</v>
      </c>
      <c r="AH27" s="106">
        <f t="shared" si="11"/>
        <v>-0.0379980346497291</v>
      </c>
      <c r="AI27" s="107">
        <f t="shared" si="24"/>
        <v>-0.034986318852299</v>
      </c>
      <c r="AJ27" s="105">
        <f t="shared" si="25"/>
        <v>0.133333333333333</v>
      </c>
      <c r="AK27" s="106">
        <f t="shared" si="26"/>
        <v>0.42750013076487</v>
      </c>
      <c r="AL27" s="106">
        <f t="shared" si="27"/>
        <v>0.0433333333333333</v>
      </c>
      <c r="AM27" s="106">
        <f t="shared" si="14"/>
        <v>0</v>
      </c>
      <c r="AN27" s="107">
        <f t="shared" si="28"/>
        <v>0.0433333333333333</v>
      </c>
      <c r="AO27" s="105">
        <f t="shared" si="15"/>
        <v>0.0046334089191232</v>
      </c>
      <c r="AP27" s="106">
        <f t="shared" si="16"/>
        <v>0.1512</v>
      </c>
      <c r="AQ27" s="107">
        <f t="shared" si="29"/>
        <v>0.0132</v>
      </c>
      <c r="AR27" s="105">
        <f t="shared" si="30"/>
        <v>0.177380423400158</v>
      </c>
      <c r="AS27" s="106">
        <f t="shared" si="31"/>
        <v>2.66666666666667</v>
      </c>
      <c r="AT27" s="107">
        <f t="shared" si="32"/>
        <v>93.7630982264787</v>
      </c>
    </row>
    <row r="28" spans="17:46">
      <c r="Q28">
        <v>21</v>
      </c>
      <c r="R28" s="105">
        <f t="shared" si="0"/>
        <v>20</v>
      </c>
      <c r="S28" s="106">
        <f t="shared" si="1"/>
        <v>0.14</v>
      </c>
      <c r="T28" s="106">
        <f t="shared" si="2"/>
        <v>4</v>
      </c>
      <c r="U28" s="107">
        <f t="shared" si="3"/>
        <v>0.7</v>
      </c>
      <c r="V28" s="105">
        <f t="shared" si="4"/>
        <v>2</v>
      </c>
      <c r="W28" s="106">
        <f t="shared" si="5"/>
        <v>0.833333333333333</v>
      </c>
      <c r="X28" s="107">
        <f t="shared" si="6"/>
        <v>0.166666666666667</v>
      </c>
      <c r="Y28" s="105">
        <f t="shared" si="18"/>
        <v>0.476190476190476</v>
      </c>
      <c r="Z28" s="106">
        <f t="shared" si="33"/>
        <v>1.31619047619048</v>
      </c>
      <c r="AA28" s="106">
        <f t="shared" si="19"/>
        <v>0.713369783119439</v>
      </c>
      <c r="AB28" s="106">
        <v>0</v>
      </c>
      <c r="AC28" s="106">
        <f t="shared" si="20"/>
        <v>0.00508896447467876</v>
      </c>
      <c r="AD28" s="107">
        <f t="shared" si="21"/>
        <v>0.00508896447467876</v>
      </c>
      <c r="AE28" s="105">
        <f t="shared" si="22"/>
        <v>0.0816666666666667</v>
      </c>
      <c r="AF28" s="106">
        <f t="shared" si="23"/>
        <v>0.713369783119439</v>
      </c>
      <c r="AG28" s="106">
        <f t="shared" si="10"/>
        <v>0.00330782690854119</v>
      </c>
      <c r="AH28" s="106">
        <f t="shared" si="11"/>
        <v>-0.0398979363822155</v>
      </c>
      <c r="AI28" s="107">
        <f t="shared" si="24"/>
        <v>-0.0365901094736743</v>
      </c>
      <c r="AJ28" s="105">
        <f t="shared" si="25"/>
        <v>0.14</v>
      </c>
      <c r="AK28" s="106">
        <f t="shared" si="26"/>
        <v>0.443693924132298</v>
      </c>
      <c r="AL28" s="106">
        <f t="shared" si="27"/>
        <v>0.0455</v>
      </c>
      <c r="AM28" s="106">
        <f t="shared" si="14"/>
        <v>0</v>
      </c>
      <c r="AN28" s="107">
        <f t="shared" si="28"/>
        <v>0.0455</v>
      </c>
      <c r="AO28" s="105">
        <f t="shared" si="15"/>
        <v>0.00508896447467876</v>
      </c>
      <c r="AP28" s="106">
        <f t="shared" si="16"/>
        <v>0.1512</v>
      </c>
      <c r="AQ28" s="107">
        <f t="shared" si="29"/>
        <v>0.0132</v>
      </c>
      <c r="AR28" s="105">
        <f t="shared" si="30"/>
        <v>0.178398855001004</v>
      </c>
      <c r="AS28" s="106">
        <f t="shared" si="31"/>
        <v>2.8</v>
      </c>
      <c r="AT28" s="107">
        <f t="shared" si="32"/>
        <v>94.0102429632131</v>
      </c>
    </row>
    <row r="29" spans="17:46">
      <c r="Q29">
        <v>22</v>
      </c>
      <c r="R29" s="105">
        <f t="shared" si="0"/>
        <v>20</v>
      </c>
      <c r="S29" s="106">
        <f t="shared" si="1"/>
        <v>0.146666666666667</v>
      </c>
      <c r="T29" s="106">
        <f t="shared" si="2"/>
        <v>4</v>
      </c>
      <c r="U29" s="107">
        <f t="shared" si="3"/>
        <v>0.733333333333333</v>
      </c>
      <c r="V29" s="105">
        <f t="shared" si="4"/>
        <v>2</v>
      </c>
      <c r="W29" s="106">
        <f t="shared" si="5"/>
        <v>0.833333333333333</v>
      </c>
      <c r="X29" s="107">
        <f t="shared" si="6"/>
        <v>0.166666666666667</v>
      </c>
      <c r="Y29" s="105">
        <f t="shared" si="18"/>
        <v>0.476190476190476</v>
      </c>
      <c r="Z29" s="106">
        <f t="shared" si="33"/>
        <v>1.35619047619048</v>
      </c>
      <c r="AA29" s="106">
        <f t="shared" si="19"/>
        <v>0.746106041555524</v>
      </c>
      <c r="AB29" s="106">
        <v>0</v>
      </c>
      <c r="AC29" s="106">
        <f t="shared" si="20"/>
        <v>0.00556674225245654</v>
      </c>
      <c r="AD29" s="107">
        <f t="shared" si="21"/>
        <v>0.00556674225245654</v>
      </c>
      <c r="AE29" s="105">
        <f t="shared" si="22"/>
        <v>0.0896296296296296</v>
      </c>
      <c r="AF29" s="106">
        <f t="shared" si="23"/>
        <v>0.746106041555524</v>
      </c>
      <c r="AG29" s="106">
        <f t="shared" si="10"/>
        <v>0.00361838246409675</v>
      </c>
      <c r="AH29" s="106">
        <f t="shared" si="11"/>
        <v>-0.041797838114702</v>
      </c>
      <c r="AI29" s="107">
        <f t="shared" si="24"/>
        <v>-0.0381794556506052</v>
      </c>
      <c r="AJ29" s="105">
        <f t="shared" si="25"/>
        <v>0.146666666666667</v>
      </c>
      <c r="AK29" s="106">
        <f t="shared" si="26"/>
        <v>0.459897345233898</v>
      </c>
      <c r="AL29" s="106">
        <f t="shared" si="27"/>
        <v>0.0476666666666667</v>
      </c>
      <c r="AM29" s="106">
        <f t="shared" si="14"/>
        <v>0</v>
      </c>
      <c r="AN29" s="107">
        <f t="shared" si="28"/>
        <v>0.0476666666666667</v>
      </c>
      <c r="AO29" s="105">
        <f t="shared" si="15"/>
        <v>0.00556674225245654</v>
      </c>
      <c r="AP29" s="106">
        <f t="shared" si="16"/>
        <v>0.1512</v>
      </c>
      <c r="AQ29" s="107">
        <f t="shared" si="29"/>
        <v>0.0132</v>
      </c>
      <c r="AR29" s="105">
        <f t="shared" si="30"/>
        <v>0.179453953268518</v>
      </c>
      <c r="AS29" s="106">
        <f t="shared" si="31"/>
        <v>2.93333333333333</v>
      </c>
      <c r="AT29" s="107">
        <f t="shared" si="32"/>
        <v>94.2349432599867</v>
      </c>
    </row>
    <row r="30" spans="17:46">
      <c r="Q30">
        <v>23</v>
      </c>
      <c r="R30" s="105">
        <f t="shared" si="0"/>
        <v>20</v>
      </c>
      <c r="S30" s="106">
        <f t="shared" si="1"/>
        <v>0.153333333333333</v>
      </c>
      <c r="T30" s="106">
        <f t="shared" si="2"/>
        <v>4</v>
      </c>
      <c r="U30" s="107">
        <f t="shared" si="3"/>
        <v>0.766666666666667</v>
      </c>
      <c r="V30" s="105">
        <f t="shared" si="4"/>
        <v>2</v>
      </c>
      <c r="W30" s="106">
        <f t="shared" si="5"/>
        <v>0.833333333333333</v>
      </c>
      <c r="X30" s="107">
        <f t="shared" si="6"/>
        <v>0.166666666666667</v>
      </c>
      <c r="Y30" s="105">
        <f t="shared" si="18"/>
        <v>0.476190476190476</v>
      </c>
      <c r="Z30" s="106">
        <f t="shared" si="33"/>
        <v>1.39619047619048</v>
      </c>
      <c r="AA30" s="106">
        <f t="shared" si="19"/>
        <v>0.778892948514527</v>
      </c>
      <c r="AB30" s="106">
        <v>0</v>
      </c>
      <c r="AC30" s="106">
        <f t="shared" si="20"/>
        <v>0.00606674225245654</v>
      </c>
      <c r="AD30" s="107">
        <f t="shared" si="21"/>
        <v>0.00606674225245654</v>
      </c>
      <c r="AE30" s="105">
        <f t="shared" si="22"/>
        <v>0.097962962962963</v>
      </c>
      <c r="AF30" s="106">
        <f t="shared" si="23"/>
        <v>0.778892948514527</v>
      </c>
      <c r="AG30" s="106">
        <f t="shared" si="10"/>
        <v>0.00394338246409675</v>
      </c>
      <c r="AH30" s="106">
        <f t="shared" si="11"/>
        <v>-0.0436977398471884</v>
      </c>
      <c r="AI30" s="107">
        <f t="shared" si="24"/>
        <v>-0.0397543573830917</v>
      </c>
      <c r="AJ30" s="105">
        <f t="shared" si="25"/>
        <v>0.153333333333333</v>
      </c>
      <c r="AK30" s="106">
        <f t="shared" si="26"/>
        <v>0.47610941108929</v>
      </c>
      <c r="AL30" s="106">
        <f t="shared" si="27"/>
        <v>0.0498333333333333</v>
      </c>
      <c r="AM30" s="106">
        <f t="shared" si="14"/>
        <v>0</v>
      </c>
      <c r="AN30" s="107">
        <f t="shared" si="28"/>
        <v>0.0498333333333333</v>
      </c>
      <c r="AO30" s="105">
        <f t="shared" si="15"/>
        <v>0.00606674225245654</v>
      </c>
      <c r="AP30" s="106">
        <f t="shared" si="16"/>
        <v>0.1512</v>
      </c>
      <c r="AQ30" s="107">
        <f t="shared" si="29"/>
        <v>0.0132</v>
      </c>
      <c r="AR30" s="105">
        <f t="shared" si="30"/>
        <v>0.180545718202698</v>
      </c>
      <c r="AS30" s="106">
        <f t="shared" si="31"/>
        <v>3.06666666666667</v>
      </c>
      <c r="AT30" s="107">
        <f t="shared" si="32"/>
        <v>94.4399781472883</v>
      </c>
    </row>
    <row r="31" spans="17:46">
      <c r="Q31">
        <v>24</v>
      </c>
      <c r="R31" s="105">
        <f t="shared" si="0"/>
        <v>20</v>
      </c>
      <c r="S31" s="106">
        <f t="shared" si="1"/>
        <v>0.16</v>
      </c>
      <c r="T31" s="106">
        <f t="shared" si="2"/>
        <v>4</v>
      </c>
      <c r="U31" s="107">
        <f t="shared" si="3"/>
        <v>0.8</v>
      </c>
      <c r="V31" s="105">
        <f t="shared" si="4"/>
        <v>2</v>
      </c>
      <c r="W31" s="106">
        <f t="shared" si="5"/>
        <v>0.833333333333333</v>
      </c>
      <c r="X31" s="107">
        <f t="shared" si="6"/>
        <v>0.166666666666667</v>
      </c>
      <c r="Y31" s="105">
        <f t="shared" si="18"/>
        <v>0.476190476190476</v>
      </c>
      <c r="Z31" s="106">
        <f t="shared" si="33"/>
        <v>1.43619047619048</v>
      </c>
      <c r="AA31" s="106">
        <f t="shared" si="19"/>
        <v>0.81172436668359</v>
      </c>
      <c r="AB31" s="106">
        <v>0</v>
      </c>
      <c r="AC31" s="106">
        <f t="shared" si="20"/>
        <v>0.00658896447467876</v>
      </c>
      <c r="AD31" s="107">
        <f t="shared" si="21"/>
        <v>0.00658896447467876</v>
      </c>
      <c r="AE31" s="105">
        <f t="shared" si="22"/>
        <v>0.106666666666667</v>
      </c>
      <c r="AF31" s="106">
        <f t="shared" si="23"/>
        <v>0.81172436668359</v>
      </c>
      <c r="AG31" s="106">
        <f t="shared" si="10"/>
        <v>0.00428282690854119</v>
      </c>
      <c r="AH31" s="106">
        <f t="shared" si="11"/>
        <v>-0.0455976415796749</v>
      </c>
      <c r="AI31" s="107">
        <f t="shared" si="24"/>
        <v>-0.0413148146711337</v>
      </c>
      <c r="AJ31" s="105">
        <f t="shared" si="25"/>
        <v>0.16</v>
      </c>
      <c r="AK31" s="106">
        <f t="shared" si="26"/>
        <v>0.492329267701735</v>
      </c>
      <c r="AL31" s="106">
        <f t="shared" si="27"/>
        <v>0.052</v>
      </c>
      <c r="AM31" s="106">
        <f t="shared" si="14"/>
        <v>0</v>
      </c>
      <c r="AN31" s="107">
        <f t="shared" si="28"/>
        <v>0.052</v>
      </c>
      <c r="AO31" s="105">
        <f t="shared" si="15"/>
        <v>0.00658896447467876</v>
      </c>
      <c r="AP31" s="106">
        <f t="shared" si="16"/>
        <v>0.1512</v>
      </c>
      <c r="AQ31" s="107">
        <f t="shared" si="29"/>
        <v>0.0132</v>
      </c>
      <c r="AR31" s="105">
        <f t="shared" si="30"/>
        <v>0.181674149803545</v>
      </c>
      <c r="AS31" s="106">
        <f t="shared" si="31"/>
        <v>3.2</v>
      </c>
      <c r="AT31" s="107">
        <f t="shared" si="32"/>
        <v>94.6276861177148</v>
      </c>
    </row>
    <row r="32" spans="17:46">
      <c r="Q32">
        <v>25</v>
      </c>
      <c r="R32" s="105">
        <f t="shared" si="0"/>
        <v>20</v>
      </c>
      <c r="S32" s="106">
        <f t="shared" si="1"/>
        <v>0.166666666666667</v>
      </c>
      <c r="T32" s="106">
        <f t="shared" si="2"/>
        <v>4</v>
      </c>
      <c r="U32" s="107">
        <f t="shared" si="3"/>
        <v>0.833333333333333</v>
      </c>
      <c r="V32" s="105">
        <f t="shared" si="4"/>
        <v>2</v>
      </c>
      <c r="W32" s="106">
        <f t="shared" si="5"/>
        <v>0.833333333333333</v>
      </c>
      <c r="X32" s="107">
        <f t="shared" si="6"/>
        <v>0.166666666666667</v>
      </c>
      <c r="Y32" s="105">
        <f t="shared" si="18"/>
        <v>0.476190476190476</v>
      </c>
      <c r="Z32" s="106">
        <f t="shared" si="33"/>
        <v>1.47619047619048</v>
      </c>
      <c r="AA32" s="106">
        <f t="shared" si="19"/>
        <v>0.844595105309237</v>
      </c>
      <c r="AB32" s="106">
        <v>0</v>
      </c>
      <c r="AC32" s="106">
        <f t="shared" si="20"/>
        <v>0.00713340891912321</v>
      </c>
      <c r="AD32" s="107">
        <f t="shared" si="21"/>
        <v>0.00713340891912321</v>
      </c>
      <c r="AE32" s="105">
        <f t="shared" si="22"/>
        <v>0.115740740740741</v>
      </c>
      <c r="AF32" s="106">
        <f t="shared" si="23"/>
        <v>0.844595105309237</v>
      </c>
      <c r="AG32" s="106">
        <f t="shared" si="10"/>
        <v>0.00463671579743009</v>
      </c>
      <c r="AH32" s="106">
        <f t="shared" si="11"/>
        <v>-0.0474975433121614</v>
      </c>
      <c r="AI32" s="107">
        <f t="shared" si="24"/>
        <v>-0.0428608275147313</v>
      </c>
      <c r="AJ32" s="105">
        <f t="shared" si="25"/>
        <v>0.166666666666667</v>
      </c>
      <c r="AK32" s="106">
        <f t="shared" si="26"/>
        <v>0.50855616963812</v>
      </c>
      <c r="AL32" s="106">
        <f t="shared" si="27"/>
        <v>0.0541666666666667</v>
      </c>
      <c r="AM32" s="106">
        <f t="shared" si="14"/>
        <v>0</v>
      </c>
      <c r="AN32" s="107">
        <f t="shared" si="28"/>
        <v>0.0541666666666667</v>
      </c>
      <c r="AO32" s="105">
        <f t="shared" si="15"/>
        <v>0.00713340891912321</v>
      </c>
      <c r="AP32" s="106">
        <f t="shared" si="16"/>
        <v>0.1512</v>
      </c>
      <c r="AQ32" s="107">
        <f t="shared" si="29"/>
        <v>0.0132</v>
      </c>
      <c r="AR32" s="105">
        <f t="shared" si="30"/>
        <v>0.182839248071059</v>
      </c>
      <c r="AS32" s="106">
        <f t="shared" si="31"/>
        <v>3.33333333333333</v>
      </c>
      <c r="AT32" s="107">
        <f t="shared" si="32"/>
        <v>94.8000490920718</v>
      </c>
    </row>
    <row r="33" spans="17:46">
      <c r="Q33">
        <v>26</v>
      </c>
      <c r="R33" s="105">
        <f t="shared" si="0"/>
        <v>20</v>
      </c>
      <c r="S33" s="106">
        <f t="shared" si="1"/>
        <v>0.173333333333333</v>
      </c>
      <c r="T33" s="106">
        <f t="shared" si="2"/>
        <v>4</v>
      </c>
      <c r="U33" s="107">
        <f t="shared" si="3"/>
        <v>0.866666666666667</v>
      </c>
      <c r="V33" s="105">
        <f t="shared" si="4"/>
        <v>2</v>
      </c>
      <c r="W33" s="106">
        <f t="shared" si="5"/>
        <v>0.833333333333333</v>
      </c>
      <c r="X33" s="107">
        <f t="shared" si="6"/>
        <v>0.166666666666667</v>
      </c>
      <c r="Y33" s="105">
        <f t="shared" si="18"/>
        <v>0.476190476190476</v>
      </c>
      <c r="Z33" s="106">
        <f t="shared" si="33"/>
        <v>1.51619047619048</v>
      </c>
      <c r="AA33" s="106">
        <f t="shared" si="19"/>
        <v>0.877500745628736</v>
      </c>
      <c r="AB33" s="106">
        <v>0</v>
      </c>
      <c r="AC33" s="106">
        <f t="shared" si="20"/>
        <v>0.00770007558578987</v>
      </c>
      <c r="AD33" s="107">
        <f t="shared" si="21"/>
        <v>0.00770007558578987</v>
      </c>
      <c r="AE33" s="105">
        <f t="shared" si="22"/>
        <v>0.125185185185185</v>
      </c>
      <c r="AF33" s="106">
        <f t="shared" si="23"/>
        <v>0.877500745628736</v>
      </c>
      <c r="AG33" s="106">
        <f t="shared" si="10"/>
        <v>0.00500504913076342</v>
      </c>
      <c r="AH33" s="106">
        <f t="shared" si="11"/>
        <v>-0.0493974450446478</v>
      </c>
      <c r="AI33" s="107">
        <f t="shared" si="24"/>
        <v>-0.0443923959138844</v>
      </c>
      <c r="AJ33" s="105">
        <f t="shared" si="25"/>
        <v>0.173333333333333</v>
      </c>
      <c r="AK33" s="106">
        <f t="shared" si="26"/>
        <v>0.524789463358021</v>
      </c>
      <c r="AL33" s="106">
        <f t="shared" si="27"/>
        <v>0.0563333333333333</v>
      </c>
      <c r="AM33" s="106">
        <f t="shared" si="14"/>
        <v>0</v>
      </c>
      <c r="AN33" s="107">
        <f t="shared" si="28"/>
        <v>0.0563333333333333</v>
      </c>
      <c r="AO33" s="105">
        <f t="shared" si="15"/>
        <v>0.00770007558578987</v>
      </c>
      <c r="AP33" s="106">
        <f t="shared" si="16"/>
        <v>0.1512</v>
      </c>
      <c r="AQ33" s="107">
        <f t="shared" si="29"/>
        <v>0.0132</v>
      </c>
      <c r="AR33" s="105">
        <f t="shared" si="30"/>
        <v>0.184041013005239</v>
      </c>
      <c r="AS33" s="106">
        <f t="shared" si="31"/>
        <v>3.46666666666667</v>
      </c>
      <c r="AT33" s="107">
        <f t="shared" si="32"/>
        <v>94.9587578860387</v>
      </c>
    </row>
    <row r="34" spans="17:46">
      <c r="Q34">
        <v>27</v>
      </c>
      <c r="R34" s="105">
        <f t="shared" si="0"/>
        <v>20</v>
      </c>
      <c r="S34" s="106">
        <f t="shared" si="1"/>
        <v>0.18</v>
      </c>
      <c r="T34" s="106">
        <f t="shared" si="2"/>
        <v>4</v>
      </c>
      <c r="U34" s="107">
        <f t="shared" si="3"/>
        <v>0.9</v>
      </c>
      <c r="V34" s="105">
        <f t="shared" si="4"/>
        <v>2</v>
      </c>
      <c r="W34" s="106">
        <f t="shared" si="5"/>
        <v>0.833333333333333</v>
      </c>
      <c r="X34" s="107">
        <f t="shared" si="6"/>
        <v>0.166666666666667</v>
      </c>
      <c r="Y34" s="105">
        <f t="shared" si="18"/>
        <v>0.476190476190476</v>
      </c>
      <c r="Z34" s="106">
        <f t="shared" si="33"/>
        <v>1.55619047619048</v>
      </c>
      <c r="AA34" s="106">
        <f t="shared" si="19"/>
        <v>0.910437503328963</v>
      </c>
      <c r="AB34" s="106">
        <v>0</v>
      </c>
      <c r="AC34" s="106">
        <f t="shared" si="20"/>
        <v>0.00828896447467876</v>
      </c>
      <c r="AD34" s="107">
        <f t="shared" si="21"/>
        <v>0.00828896447467876</v>
      </c>
      <c r="AE34" s="105">
        <f t="shared" si="22"/>
        <v>0.135</v>
      </c>
      <c r="AF34" s="106">
        <f t="shared" si="23"/>
        <v>0.910437503328963</v>
      </c>
      <c r="AG34" s="106">
        <f t="shared" si="10"/>
        <v>0.0053878269085412</v>
      </c>
      <c r="AH34" s="106">
        <f t="shared" si="11"/>
        <v>-0.0512973467771343</v>
      </c>
      <c r="AI34" s="107">
        <f t="shared" si="24"/>
        <v>-0.0459095198685931</v>
      </c>
      <c r="AJ34" s="105">
        <f t="shared" si="25"/>
        <v>0.18</v>
      </c>
      <c r="AK34" s="106">
        <f t="shared" si="26"/>
        <v>0.541028573514871</v>
      </c>
      <c r="AL34" s="106">
        <f t="shared" si="27"/>
        <v>0.0585</v>
      </c>
      <c r="AM34" s="106">
        <f t="shared" si="14"/>
        <v>0</v>
      </c>
      <c r="AN34" s="107">
        <f t="shared" si="28"/>
        <v>0.0585</v>
      </c>
      <c r="AO34" s="105">
        <f t="shared" si="15"/>
        <v>0.00828896447467876</v>
      </c>
      <c r="AP34" s="106">
        <f t="shared" si="16"/>
        <v>0.1512</v>
      </c>
      <c r="AQ34" s="107">
        <f t="shared" si="29"/>
        <v>0.0132</v>
      </c>
      <c r="AR34" s="105">
        <f t="shared" si="30"/>
        <v>0.185279444606086</v>
      </c>
      <c r="AS34" s="106">
        <f t="shared" si="31"/>
        <v>3.6</v>
      </c>
      <c r="AT34" s="107">
        <f t="shared" si="32"/>
        <v>95.1052637640768</v>
      </c>
    </row>
    <row r="35" spans="17:46">
      <c r="Q35">
        <v>28</v>
      </c>
      <c r="R35" s="105">
        <f t="shared" si="0"/>
        <v>20</v>
      </c>
      <c r="S35" s="106">
        <f t="shared" si="1"/>
        <v>0.186666666666667</v>
      </c>
      <c r="T35" s="106">
        <f t="shared" si="2"/>
        <v>4</v>
      </c>
      <c r="U35" s="107">
        <f t="shared" si="3"/>
        <v>0.933333333333333</v>
      </c>
      <c r="V35" s="105">
        <f t="shared" si="4"/>
        <v>2</v>
      </c>
      <c r="W35" s="106">
        <f t="shared" si="5"/>
        <v>0.833333333333333</v>
      </c>
      <c r="X35" s="107">
        <f t="shared" si="6"/>
        <v>0.166666666666667</v>
      </c>
      <c r="Y35" s="105">
        <f t="shared" si="18"/>
        <v>0.476190476190476</v>
      </c>
      <c r="Z35" s="106">
        <f t="shared" si="33"/>
        <v>1.59619047619048</v>
      </c>
      <c r="AA35" s="106">
        <f t="shared" si="19"/>
        <v>0.943402119236006</v>
      </c>
      <c r="AB35" s="106">
        <v>0</v>
      </c>
      <c r="AC35" s="106">
        <f t="shared" si="20"/>
        <v>0.00890007558578987</v>
      </c>
      <c r="AD35" s="107">
        <f t="shared" si="21"/>
        <v>0.00890007558578987</v>
      </c>
      <c r="AE35" s="105">
        <f t="shared" si="22"/>
        <v>0.145185185185185</v>
      </c>
      <c r="AF35" s="106">
        <f t="shared" si="23"/>
        <v>0.943402119236006</v>
      </c>
      <c r="AG35" s="106">
        <f t="shared" si="10"/>
        <v>0.00578504913076342</v>
      </c>
      <c r="AH35" s="106">
        <f t="shared" si="11"/>
        <v>-0.0531972485096207</v>
      </c>
      <c r="AI35" s="107">
        <f t="shared" si="24"/>
        <v>-0.0474121993788573</v>
      </c>
      <c r="AJ35" s="105">
        <f t="shared" si="25"/>
        <v>0.186666666666667</v>
      </c>
      <c r="AK35" s="106">
        <f t="shared" si="26"/>
        <v>0.557272991630499</v>
      </c>
      <c r="AL35" s="106">
        <f t="shared" si="27"/>
        <v>0.0606666666666667</v>
      </c>
      <c r="AM35" s="106">
        <f t="shared" si="14"/>
        <v>0</v>
      </c>
      <c r="AN35" s="107">
        <f t="shared" si="28"/>
        <v>0.0606666666666667</v>
      </c>
      <c r="AO35" s="105">
        <f t="shared" si="15"/>
        <v>0.00890007558578987</v>
      </c>
      <c r="AP35" s="106">
        <f t="shared" si="16"/>
        <v>0.1512</v>
      </c>
      <c r="AQ35" s="107">
        <f t="shared" si="29"/>
        <v>0.0132</v>
      </c>
      <c r="AR35" s="105">
        <f t="shared" si="30"/>
        <v>0.186554542873599</v>
      </c>
      <c r="AS35" s="106">
        <f t="shared" si="31"/>
        <v>3.73333333333333</v>
      </c>
      <c r="AT35" s="107">
        <f t="shared" si="32"/>
        <v>95.2408194120563</v>
      </c>
    </row>
    <row r="36" spans="17:46">
      <c r="Q36">
        <v>29</v>
      </c>
      <c r="R36" s="105">
        <f t="shared" si="0"/>
        <v>20</v>
      </c>
      <c r="S36" s="106">
        <f t="shared" si="1"/>
        <v>0.193333333333333</v>
      </c>
      <c r="T36" s="106">
        <f t="shared" si="2"/>
        <v>4</v>
      </c>
      <c r="U36" s="107">
        <f t="shared" si="3"/>
        <v>0.966666666666667</v>
      </c>
      <c r="V36" s="105">
        <f t="shared" si="4"/>
        <v>2</v>
      </c>
      <c r="W36" s="106">
        <f t="shared" si="5"/>
        <v>0.833333333333333</v>
      </c>
      <c r="X36" s="107">
        <f t="shared" si="6"/>
        <v>0.166666666666667</v>
      </c>
      <c r="Y36" s="105">
        <f t="shared" si="18"/>
        <v>0.476190476190476</v>
      </c>
      <c r="Z36" s="106">
        <f t="shared" si="33"/>
        <v>1.63619047619048</v>
      </c>
      <c r="AA36" s="106">
        <f t="shared" si="19"/>
        <v>0.97639177173526</v>
      </c>
      <c r="AB36" s="106">
        <v>0</v>
      </c>
      <c r="AC36" s="106">
        <f t="shared" si="20"/>
        <v>0.00953340891912321</v>
      </c>
      <c r="AD36" s="107">
        <f t="shared" si="21"/>
        <v>0.00953340891912321</v>
      </c>
      <c r="AE36" s="105">
        <f t="shared" si="22"/>
        <v>0.155740740740741</v>
      </c>
      <c r="AF36" s="106">
        <f t="shared" si="23"/>
        <v>0.97639177173526</v>
      </c>
      <c r="AG36" s="106">
        <f t="shared" si="10"/>
        <v>0.00619671579743008</v>
      </c>
      <c r="AH36" s="106">
        <f t="shared" si="11"/>
        <v>-0.0550971502421072</v>
      </c>
      <c r="AI36" s="107">
        <f t="shared" si="24"/>
        <v>-0.0489004344446771</v>
      </c>
      <c r="AJ36" s="105">
        <f t="shared" si="25"/>
        <v>0.193333333333333</v>
      </c>
      <c r="AK36" s="106">
        <f t="shared" si="26"/>
        <v>0.573522266677946</v>
      </c>
      <c r="AL36" s="106">
        <f t="shared" si="27"/>
        <v>0.0628333333333333</v>
      </c>
      <c r="AM36" s="106">
        <f t="shared" si="14"/>
        <v>0</v>
      </c>
      <c r="AN36" s="107">
        <f t="shared" si="28"/>
        <v>0.0628333333333333</v>
      </c>
      <c r="AO36" s="105">
        <f t="shared" si="15"/>
        <v>0.00953340891912321</v>
      </c>
      <c r="AP36" s="106">
        <f t="shared" si="16"/>
        <v>0.1512</v>
      </c>
      <c r="AQ36" s="107">
        <f t="shared" si="29"/>
        <v>0.0132</v>
      </c>
      <c r="AR36" s="105">
        <f t="shared" si="30"/>
        <v>0.187866307807779</v>
      </c>
      <c r="AS36" s="106">
        <f t="shared" si="31"/>
        <v>3.86666666666667</v>
      </c>
      <c r="AT36" s="107">
        <f t="shared" si="32"/>
        <v>95.3665117785327</v>
      </c>
    </row>
    <row r="37" spans="17:46">
      <c r="Q37">
        <v>30</v>
      </c>
      <c r="R37" s="105">
        <f t="shared" si="0"/>
        <v>20</v>
      </c>
      <c r="S37" s="106">
        <f t="shared" si="1"/>
        <v>0.2</v>
      </c>
      <c r="T37" s="106">
        <f t="shared" si="2"/>
        <v>4</v>
      </c>
      <c r="U37" s="107">
        <f t="shared" si="3"/>
        <v>1</v>
      </c>
      <c r="V37" s="105">
        <f t="shared" si="4"/>
        <v>2</v>
      </c>
      <c r="W37" s="106">
        <f t="shared" si="5"/>
        <v>0.833333333333333</v>
      </c>
      <c r="X37" s="107">
        <f t="shared" si="6"/>
        <v>0.166666666666667</v>
      </c>
      <c r="Y37" s="105">
        <f t="shared" si="18"/>
        <v>0.476190476190476</v>
      </c>
      <c r="Z37" s="106">
        <f t="shared" si="33"/>
        <v>1.67619047619048</v>
      </c>
      <c r="AA37" s="106">
        <f t="shared" si="19"/>
        <v>1.00940400606887</v>
      </c>
      <c r="AB37" s="106">
        <v>0</v>
      </c>
      <c r="AC37" s="106">
        <f t="shared" si="20"/>
        <v>0.0101889644746788</v>
      </c>
      <c r="AD37" s="107">
        <f t="shared" si="21"/>
        <v>0.0101889644746788</v>
      </c>
      <c r="AE37" s="105">
        <f t="shared" si="22"/>
        <v>0.166666666666667</v>
      </c>
      <c r="AF37" s="106">
        <f t="shared" si="23"/>
        <v>1.00940400606887</v>
      </c>
      <c r="AG37" s="106">
        <f t="shared" si="10"/>
        <v>0.0066228269085412</v>
      </c>
      <c r="AH37" s="106">
        <f t="shared" si="11"/>
        <v>-0.0569970519745936</v>
      </c>
      <c r="AI37" s="107">
        <f t="shared" si="24"/>
        <v>-0.0503742250660524</v>
      </c>
      <c r="AJ37" s="105">
        <f t="shared" si="25"/>
        <v>0.2</v>
      </c>
      <c r="AK37" s="106">
        <f t="shared" si="26"/>
        <v>0.589775997208555</v>
      </c>
      <c r="AL37" s="106">
        <f t="shared" si="27"/>
        <v>0.065</v>
      </c>
      <c r="AM37" s="106">
        <f t="shared" si="14"/>
        <v>0</v>
      </c>
      <c r="AN37" s="107">
        <f t="shared" si="28"/>
        <v>0.065</v>
      </c>
      <c r="AO37" s="105">
        <f t="shared" si="15"/>
        <v>0.0101889644746788</v>
      </c>
      <c r="AP37" s="106">
        <f t="shared" si="16"/>
        <v>0.1512</v>
      </c>
      <c r="AQ37" s="107">
        <f t="shared" si="29"/>
        <v>0.0132</v>
      </c>
      <c r="AR37" s="105">
        <f t="shared" si="30"/>
        <v>0.189214739408626</v>
      </c>
      <c r="AS37" s="106">
        <f t="shared" si="31"/>
        <v>4</v>
      </c>
      <c r="AT37" s="107">
        <f t="shared" si="32"/>
        <v>95.483288607083</v>
      </c>
    </row>
    <row r="38" spans="17:46">
      <c r="Q38">
        <v>31</v>
      </c>
      <c r="R38" s="105">
        <f t="shared" si="0"/>
        <v>20</v>
      </c>
      <c r="S38" s="106">
        <f t="shared" si="1"/>
        <v>0.206666666666667</v>
      </c>
      <c r="T38" s="106">
        <f t="shared" si="2"/>
        <v>4</v>
      </c>
      <c r="U38" s="107">
        <f t="shared" si="3"/>
        <v>1.03333333333333</v>
      </c>
      <c r="V38" s="105">
        <f t="shared" si="4"/>
        <v>2</v>
      </c>
      <c r="W38" s="106">
        <f t="shared" si="5"/>
        <v>0.833333333333333</v>
      </c>
      <c r="X38" s="107">
        <f t="shared" si="6"/>
        <v>0.166666666666667</v>
      </c>
      <c r="Y38" s="105">
        <f t="shared" si="18"/>
        <v>0.476190476190476</v>
      </c>
      <c r="Z38" s="106">
        <f t="shared" si="33"/>
        <v>1.71619047619048</v>
      </c>
      <c r="AA38" s="106">
        <f t="shared" si="19"/>
        <v>1.04243667685172</v>
      </c>
      <c r="AB38" s="106">
        <v>0</v>
      </c>
      <c r="AC38" s="106">
        <f t="shared" si="20"/>
        <v>0.0108667422524565</v>
      </c>
      <c r="AD38" s="107">
        <f t="shared" si="21"/>
        <v>0.0108667422524565</v>
      </c>
      <c r="AE38" s="105">
        <f t="shared" si="22"/>
        <v>0.177962962962963</v>
      </c>
      <c r="AF38" s="106">
        <f t="shared" si="23"/>
        <v>1.04243667685172</v>
      </c>
      <c r="AG38" s="106">
        <f t="shared" si="10"/>
        <v>0.00706338246409675</v>
      </c>
      <c r="AH38" s="106">
        <f t="shared" si="11"/>
        <v>-0.0588969537070801</v>
      </c>
      <c r="AI38" s="107">
        <f t="shared" si="24"/>
        <v>-0.0518335712429833</v>
      </c>
      <c r="AJ38" s="105">
        <f t="shared" si="25"/>
        <v>0.206666666666667</v>
      </c>
      <c r="AK38" s="106">
        <f t="shared" si="26"/>
        <v>0.606033824736389</v>
      </c>
      <c r="AL38" s="106">
        <f t="shared" si="27"/>
        <v>0.0671666666666667</v>
      </c>
      <c r="AM38" s="106">
        <f t="shared" si="14"/>
        <v>0</v>
      </c>
      <c r="AN38" s="107">
        <f t="shared" si="28"/>
        <v>0.0671666666666667</v>
      </c>
      <c r="AO38" s="105">
        <f t="shared" si="15"/>
        <v>0.0108667422524565</v>
      </c>
      <c r="AP38" s="106">
        <f t="shared" si="16"/>
        <v>0.1512</v>
      </c>
      <c r="AQ38" s="107">
        <f t="shared" si="29"/>
        <v>0.0132</v>
      </c>
      <c r="AR38" s="105">
        <f t="shared" si="30"/>
        <v>0.19059983767614</v>
      </c>
      <c r="AS38" s="106">
        <f t="shared" si="31"/>
        <v>4.13333333333333</v>
      </c>
      <c r="AT38" s="107">
        <f t="shared" si="32"/>
        <v>95.5919800298014</v>
      </c>
    </row>
    <row r="39" spans="17:46">
      <c r="Q39">
        <v>32</v>
      </c>
      <c r="R39" s="105">
        <f t="shared" si="0"/>
        <v>20</v>
      </c>
      <c r="S39" s="106">
        <f t="shared" ref="S39:S70" si="34">Q39*$O$12</f>
        <v>0.213333333333333</v>
      </c>
      <c r="T39" s="106">
        <f t="shared" si="2"/>
        <v>4</v>
      </c>
      <c r="U39" s="107">
        <f t="shared" ref="U39:U70" si="35">(R39*S39)/(T39*EFF_est)</f>
        <v>1.06666666666667</v>
      </c>
      <c r="V39" s="105">
        <f t="shared" ref="V39:V70" si="36">IF(S39&lt;((T39^2)*R39)/(2*Fsw*Lm*((T39+R39)^2)),1,2)</f>
        <v>2</v>
      </c>
      <c r="W39" s="106">
        <f t="shared" ref="W39:W70" si="37">CHOOSE(V39,SQRT(2*Lm*R39*S39*Fsw)/T39,R39/(T39+R39))</f>
        <v>0.833333333333333</v>
      </c>
      <c r="X39" s="107">
        <f t="shared" ref="X39:X70" si="38">CHOOSE(V39,(Lm*Z39*Fsw)/(R39),1-W39)</f>
        <v>0.166666666666667</v>
      </c>
      <c r="Y39" s="105">
        <f t="shared" si="18"/>
        <v>0.476190476190476</v>
      </c>
      <c r="Z39" s="106">
        <f t="shared" si="33"/>
        <v>1.75619047619048</v>
      </c>
      <c r="AA39" s="106">
        <f t="shared" si="19"/>
        <v>1.07548790102244</v>
      </c>
      <c r="AB39" s="106">
        <v>0</v>
      </c>
      <c r="AC39" s="106">
        <f t="shared" si="20"/>
        <v>0.0115667422524565</v>
      </c>
      <c r="AD39" s="107">
        <f t="shared" si="21"/>
        <v>0.0115667422524565</v>
      </c>
      <c r="AE39" s="105">
        <f t="shared" si="22"/>
        <v>0.18962962962963</v>
      </c>
      <c r="AF39" s="106">
        <f t="shared" si="23"/>
        <v>1.07548790102244</v>
      </c>
      <c r="AG39" s="106">
        <f t="shared" ref="AG39:AG70" si="39">(AF39^2)*RDS_on</f>
        <v>0.00751838246409675</v>
      </c>
      <c r="AH39" s="106">
        <f t="shared" ref="AH39:AH70" si="40">(((R39+T39)*(U39+S39))/2)*Fsw*(tr_sw+tf_sw)</f>
        <v>-0.0607968554395665</v>
      </c>
      <c r="AI39" s="107">
        <f t="shared" si="24"/>
        <v>-0.0532784729754698</v>
      </c>
      <c r="AJ39" s="105">
        <f t="shared" si="25"/>
        <v>0.213333333333333</v>
      </c>
      <c r="AK39" s="106">
        <f t="shared" si="26"/>
        <v>0.622295428152271</v>
      </c>
      <c r="AL39" s="106">
        <f t="shared" si="27"/>
        <v>0.0693333333333333</v>
      </c>
      <c r="AM39" s="106">
        <f t="shared" ref="AM39:AM70" si="41">(R39+T39+Vd_rect)*Qrr*Fsw</f>
        <v>0</v>
      </c>
      <c r="AN39" s="107">
        <f t="shared" si="28"/>
        <v>0.0693333333333333</v>
      </c>
      <c r="AO39" s="105">
        <f t="shared" ref="AO39:AO70" si="42">(AF39^2)*R_cs</f>
        <v>0.0115667422524565</v>
      </c>
      <c r="AP39" s="106">
        <f t="shared" si="16"/>
        <v>0.1512</v>
      </c>
      <c r="AQ39" s="107">
        <f t="shared" si="29"/>
        <v>0.0132</v>
      </c>
      <c r="AR39" s="105">
        <f t="shared" si="30"/>
        <v>0.19202160261032</v>
      </c>
      <c r="AS39" s="106">
        <f t="shared" si="31"/>
        <v>4.26666666666667</v>
      </c>
      <c r="AT39" s="107">
        <f t="shared" si="32"/>
        <v>95.693316262241</v>
      </c>
    </row>
    <row r="40" spans="17:46">
      <c r="Q40">
        <v>33</v>
      </c>
      <c r="R40" s="105">
        <f t="shared" si="0"/>
        <v>20</v>
      </c>
      <c r="S40" s="106">
        <f t="shared" si="34"/>
        <v>0.22</v>
      </c>
      <c r="T40" s="106">
        <f t="shared" si="2"/>
        <v>4</v>
      </c>
      <c r="U40" s="107">
        <f t="shared" si="35"/>
        <v>1.1</v>
      </c>
      <c r="V40" s="105">
        <f t="shared" si="36"/>
        <v>2</v>
      </c>
      <c r="W40" s="106">
        <f t="shared" si="37"/>
        <v>0.833333333333333</v>
      </c>
      <c r="X40" s="107">
        <f t="shared" si="38"/>
        <v>0.166666666666667</v>
      </c>
      <c r="Y40" s="105">
        <f t="shared" si="18"/>
        <v>0.476190476190476</v>
      </c>
      <c r="Z40" s="106">
        <f t="shared" si="33"/>
        <v>1.79619047619048</v>
      </c>
      <c r="AA40" s="106">
        <f t="shared" si="19"/>
        <v>1.10855601909325</v>
      </c>
      <c r="AB40" s="106">
        <v>0</v>
      </c>
      <c r="AC40" s="106">
        <f t="shared" si="20"/>
        <v>0.0122889644746788</v>
      </c>
      <c r="AD40" s="107">
        <f t="shared" si="21"/>
        <v>0.0122889644746788</v>
      </c>
      <c r="AE40" s="105">
        <f t="shared" si="22"/>
        <v>0.201666666666667</v>
      </c>
      <c r="AF40" s="106">
        <f t="shared" si="23"/>
        <v>1.10855601909325</v>
      </c>
      <c r="AG40" s="106">
        <f t="shared" si="39"/>
        <v>0.0079878269085412</v>
      </c>
      <c r="AH40" s="106">
        <f t="shared" si="40"/>
        <v>-0.062696757172053</v>
      </c>
      <c r="AI40" s="107">
        <f t="shared" si="24"/>
        <v>-0.0547089302635118</v>
      </c>
      <c r="AJ40" s="105">
        <f t="shared" si="25"/>
        <v>0.22</v>
      </c>
      <c r="AK40" s="106">
        <f t="shared" si="26"/>
        <v>0.638560518985597</v>
      </c>
      <c r="AL40" s="106">
        <f t="shared" si="27"/>
        <v>0.0715</v>
      </c>
      <c r="AM40" s="106">
        <f t="shared" si="41"/>
        <v>0</v>
      </c>
      <c r="AN40" s="107">
        <f t="shared" si="28"/>
        <v>0.0715</v>
      </c>
      <c r="AO40" s="105">
        <f t="shared" si="42"/>
        <v>0.0122889644746788</v>
      </c>
      <c r="AP40" s="106">
        <f t="shared" si="16"/>
        <v>0.1512</v>
      </c>
      <c r="AQ40" s="107">
        <f t="shared" si="29"/>
        <v>0.0132</v>
      </c>
      <c r="AR40" s="105">
        <f t="shared" si="30"/>
        <v>0.193480034211167</v>
      </c>
      <c r="AS40" s="106">
        <f t="shared" si="31"/>
        <v>4.4</v>
      </c>
      <c r="AT40" s="107">
        <f t="shared" si="32"/>
        <v>95.7879421969798</v>
      </c>
    </row>
    <row r="41" spans="17:46">
      <c r="Q41">
        <v>34</v>
      </c>
      <c r="R41" s="105">
        <f t="shared" si="0"/>
        <v>20</v>
      </c>
      <c r="S41" s="106">
        <f t="shared" si="34"/>
        <v>0.226666666666667</v>
      </c>
      <c r="T41" s="106">
        <f t="shared" si="2"/>
        <v>4</v>
      </c>
      <c r="U41" s="107">
        <f t="shared" si="35"/>
        <v>1.13333333333333</v>
      </c>
      <c r="V41" s="105">
        <f t="shared" si="36"/>
        <v>2</v>
      </c>
      <c r="W41" s="106">
        <f t="shared" si="37"/>
        <v>0.833333333333333</v>
      </c>
      <c r="X41" s="107">
        <f t="shared" si="38"/>
        <v>0.166666666666667</v>
      </c>
      <c r="Y41" s="105">
        <f t="shared" si="18"/>
        <v>0.476190476190476</v>
      </c>
      <c r="Z41" s="106">
        <f t="shared" si="33"/>
        <v>1.83619047619048</v>
      </c>
      <c r="AA41" s="106">
        <f t="shared" si="19"/>
        <v>1.1416395630462</v>
      </c>
      <c r="AB41" s="106">
        <v>0</v>
      </c>
      <c r="AC41" s="106">
        <f t="shared" si="20"/>
        <v>0.0130334089191232</v>
      </c>
      <c r="AD41" s="107">
        <f t="shared" si="21"/>
        <v>0.0130334089191232</v>
      </c>
      <c r="AE41" s="105">
        <f t="shared" si="22"/>
        <v>0.214074074074074</v>
      </c>
      <c r="AF41" s="106">
        <f t="shared" si="23"/>
        <v>1.1416395630462</v>
      </c>
      <c r="AG41" s="106">
        <f t="shared" si="39"/>
        <v>0.00847171579743008</v>
      </c>
      <c r="AH41" s="106">
        <f t="shared" si="40"/>
        <v>-0.0645966589045394</v>
      </c>
      <c r="AI41" s="107">
        <f t="shared" si="24"/>
        <v>-0.0561249431071093</v>
      </c>
      <c r="AJ41" s="105">
        <f t="shared" si="25"/>
        <v>0.226666666666667</v>
      </c>
      <c r="AK41" s="106">
        <f t="shared" si="26"/>
        <v>0.65482883736777</v>
      </c>
      <c r="AL41" s="106">
        <f t="shared" si="27"/>
        <v>0.0736666666666667</v>
      </c>
      <c r="AM41" s="106">
        <f t="shared" si="41"/>
        <v>0</v>
      </c>
      <c r="AN41" s="107">
        <f t="shared" si="28"/>
        <v>0.0736666666666667</v>
      </c>
      <c r="AO41" s="105">
        <f t="shared" si="42"/>
        <v>0.0130334089191232</v>
      </c>
      <c r="AP41" s="106">
        <f t="shared" si="16"/>
        <v>0.1512</v>
      </c>
      <c r="AQ41" s="107">
        <f t="shared" si="29"/>
        <v>0.0132</v>
      </c>
      <c r="AR41" s="105">
        <f t="shared" si="30"/>
        <v>0.194975132478681</v>
      </c>
      <c r="AS41" s="106">
        <f t="shared" si="31"/>
        <v>4.53333333333333</v>
      </c>
      <c r="AT41" s="107">
        <f t="shared" si="32"/>
        <v>95.876429511982</v>
      </c>
    </row>
    <row r="42" spans="17:46">
      <c r="Q42">
        <v>35</v>
      </c>
      <c r="R42" s="105">
        <f t="shared" si="0"/>
        <v>20</v>
      </c>
      <c r="S42" s="106">
        <f t="shared" si="34"/>
        <v>0.233333333333333</v>
      </c>
      <c r="T42" s="106">
        <f t="shared" si="2"/>
        <v>4</v>
      </c>
      <c r="U42" s="107">
        <f t="shared" si="35"/>
        <v>1.16666666666667</v>
      </c>
      <c r="V42" s="105">
        <f t="shared" si="36"/>
        <v>2</v>
      </c>
      <c r="W42" s="106">
        <f t="shared" si="37"/>
        <v>0.833333333333333</v>
      </c>
      <c r="X42" s="107">
        <f t="shared" si="38"/>
        <v>0.166666666666667</v>
      </c>
      <c r="Y42" s="105">
        <f t="shared" si="18"/>
        <v>0.476190476190476</v>
      </c>
      <c r="Z42" s="106">
        <f t="shared" si="33"/>
        <v>1.87619047619048</v>
      </c>
      <c r="AA42" s="106">
        <f t="shared" si="19"/>
        <v>1.17473722958753</v>
      </c>
      <c r="AB42" s="106">
        <v>0</v>
      </c>
      <c r="AC42" s="106">
        <f t="shared" si="20"/>
        <v>0.0138000755857899</v>
      </c>
      <c r="AD42" s="107">
        <f t="shared" si="21"/>
        <v>0.0138000755857899</v>
      </c>
      <c r="AE42" s="105">
        <f t="shared" si="22"/>
        <v>0.226851851851852</v>
      </c>
      <c r="AF42" s="106">
        <f t="shared" si="23"/>
        <v>1.17473722958753</v>
      </c>
      <c r="AG42" s="106">
        <f t="shared" si="39"/>
        <v>0.00897004913076342</v>
      </c>
      <c r="AH42" s="106">
        <f t="shared" si="40"/>
        <v>-0.0664965606370259</v>
      </c>
      <c r="AI42" s="107">
        <f t="shared" si="24"/>
        <v>-0.0575265115062625</v>
      </c>
      <c r="AJ42" s="105">
        <f t="shared" si="25"/>
        <v>0.233333333333333</v>
      </c>
      <c r="AK42" s="106">
        <f t="shared" si="26"/>
        <v>0.671100148579203</v>
      </c>
      <c r="AL42" s="106">
        <f t="shared" si="27"/>
        <v>0.0758333333333333</v>
      </c>
      <c r="AM42" s="106">
        <f t="shared" si="41"/>
        <v>0</v>
      </c>
      <c r="AN42" s="107">
        <f t="shared" si="28"/>
        <v>0.0758333333333333</v>
      </c>
      <c r="AO42" s="105">
        <f t="shared" si="42"/>
        <v>0.0138000755857899</v>
      </c>
      <c r="AP42" s="106">
        <f t="shared" si="16"/>
        <v>0.1512</v>
      </c>
      <c r="AQ42" s="107">
        <f t="shared" si="29"/>
        <v>0.0132</v>
      </c>
      <c r="AR42" s="105">
        <f t="shared" si="30"/>
        <v>0.196506897412861</v>
      </c>
      <c r="AS42" s="106">
        <f t="shared" si="31"/>
        <v>4.66666666666667</v>
      </c>
      <c r="AT42" s="107">
        <f t="shared" si="32"/>
        <v>95.9592867738815</v>
      </c>
    </row>
    <row r="43" spans="17:46">
      <c r="Q43">
        <v>36</v>
      </c>
      <c r="R43" s="105">
        <f t="shared" si="0"/>
        <v>20</v>
      </c>
      <c r="S43" s="106">
        <f t="shared" si="34"/>
        <v>0.24</v>
      </c>
      <c r="T43" s="106">
        <f t="shared" si="2"/>
        <v>4</v>
      </c>
      <c r="U43" s="107">
        <f t="shared" si="35"/>
        <v>1.2</v>
      </c>
      <c r="V43" s="105">
        <f t="shared" si="36"/>
        <v>2</v>
      </c>
      <c r="W43" s="106">
        <f t="shared" si="37"/>
        <v>0.833333333333333</v>
      </c>
      <c r="X43" s="107">
        <f t="shared" si="38"/>
        <v>0.166666666666667</v>
      </c>
      <c r="Y43" s="105">
        <f t="shared" si="18"/>
        <v>0.476190476190476</v>
      </c>
      <c r="Z43" s="106">
        <f t="shared" si="33"/>
        <v>1.91619047619048</v>
      </c>
      <c r="AA43" s="106">
        <f t="shared" si="19"/>
        <v>1.2078478577486</v>
      </c>
      <c r="AB43" s="106">
        <v>0</v>
      </c>
      <c r="AC43" s="106">
        <f t="shared" si="20"/>
        <v>0.0145889644746788</v>
      </c>
      <c r="AD43" s="107">
        <f t="shared" si="21"/>
        <v>0.0145889644746788</v>
      </c>
      <c r="AE43" s="105">
        <f t="shared" si="22"/>
        <v>0.24</v>
      </c>
      <c r="AF43" s="106">
        <f t="shared" si="23"/>
        <v>1.2078478577486</v>
      </c>
      <c r="AG43" s="106">
        <f t="shared" si="39"/>
        <v>0.0094828269085412</v>
      </c>
      <c r="AH43" s="106">
        <f t="shared" si="40"/>
        <v>-0.0683964623695123</v>
      </c>
      <c r="AI43" s="107">
        <f t="shared" si="24"/>
        <v>-0.0589136354609711</v>
      </c>
      <c r="AJ43" s="105">
        <f t="shared" si="25"/>
        <v>0.24</v>
      </c>
      <c r="AK43" s="106">
        <f t="shared" si="26"/>
        <v>0.687374240083933</v>
      </c>
      <c r="AL43" s="106">
        <f t="shared" si="27"/>
        <v>0.078</v>
      </c>
      <c r="AM43" s="106">
        <f t="shared" si="41"/>
        <v>0</v>
      </c>
      <c r="AN43" s="107">
        <f t="shared" si="28"/>
        <v>0.078</v>
      </c>
      <c r="AO43" s="105">
        <f t="shared" si="42"/>
        <v>0.0145889644746788</v>
      </c>
      <c r="AP43" s="106">
        <f t="shared" si="16"/>
        <v>0.1512</v>
      </c>
      <c r="AQ43" s="107">
        <f t="shared" si="29"/>
        <v>0.0132</v>
      </c>
      <c r="AR43" s="105">
        <f t="shared" si="30"/>
        <v>0.198075329013708</v>
      </c>
      <c r="AS43" s="106">
        <f t="shared" si="31"/>
        <v>4.8</v>
      </c>
      <c r="AT43" s="107">
        <f t="shared" si="32"/>
        <v>96.0369679131508</v>
      </c>
    </row>
    <row r="44" spans="17:46">
      <c r="Q44">
        <v>37</v>
      </c>
      <c r="R44" s="105">
        <f t="shared" si="0"/>
        <v>20</v>
      </c>
      <c r="S44" s="106">
        <f t="shared" si="34"/>
        <v>0.246666666666667</v>
      </c>
      <c r="T44" s="106">
        <f t="shared" si="2"/>
        <v>4</v>
      </c>
      <c r="U44" s="107">
        <f t="shared" si="35"/>
        <v>1.23333333333333</v>
      </c>
      <c r="V44" s="105">
        <f t="shared" si="36"/>
        <v>2</v>
      </c>
      <c r="W44" s="106">
        <f t="shared" si="37"/>
        <v>0.833333333333333</v>
      </c>
      <c r="X44" s="107">
        <f t="shared" si="38"/>
        <v>0.166666666666667</v>
      </c>
      <c r="Y44" s="105">
        <f t="shared" si="18"/>
        <v>0.476190476190476</v>
      </c>
      <c r="Z44" s="106">
        <f t="shared" si="33"/>
        <v>1.95619047619048</v>
      </c>
      <c r="AA44" s="106">
        <f t="shared" si="19"/>
        <v>1.24097041003361</v>
      </c>
      <c r="AB44" s="106">
        <v>0</v>
      </c>
      <c r="AC44" s="106">
        <f t="shared" si="20"/>
        <v>0.0154000755857899</v>
      </c>
      <c r="AD44" s="107">
        <f t="shared" si="21"/>
        <v>0.0154000755857899</v>
      </c>
      <c r="AE44" s="105">
        <f t="shared" si="22"/>
        <v>0.253518518518519</v>
      </c>
      <c r="AF44" s="106">
        <f t="shared" si="23"/>
        <v>1.24097041003361</v>
      </c>
      <c r="AG44" s="106">
        <f t="shared" si="39"/>
        <v>0.0100100491307634</v>
      </c>
      <c r="AH44" s="106">
        <f t="shared" si="40"/>
        <v>-0.0702963641019988</v>
      </c>
      <c r="AI44" s="107">
        <f t="shared" si="24"/>
        <v>-0.0602863149712354</v>
      </c>
      <c r="AJ44" s="105">
        <f t="shared" si="25"/>
        <v>0.246666666666667</v>
      </c>
      <c r="AK44" s="106">
        <f t="shared" si="26"/>
        <v>0.703650918973488</v>
      </c>
      <c r="AL44" s="106">
        <f t="shared" si="27"/>
        <v>0.0801666666666667</v>
      </c>
      <c r="AM44" s="106">
        <f t="shared" si="41"/>
        <v>0</v>
      </c>
      <c r="AN44" s="107">
        <f t="shared" si="28"/>
        <v>0.0801666666666667</v>
      </c>
      <c r="AO44" s="105">
        <f t="shared" si="42"/>
        <v>0.0154000755857899</v>
      </c>
      <c r="AP44" s="106">
        <f t="shared" si="16"/>
        <v>0.1512</v>
      </c>
      <c r="AQ44" s="107">
        <f t="shared" si="29"/>
        <v>0.0132</v>
      </c>
      <c r="AR44" s="105">
        <f t="shared" si="30"/>
        <v>0.199680427281221</v>
      </c>
      <c r="AS44" s="106">
        <f t="shared" si="31"/>
        <v>4.93333333333333</v>
      </c>
      <c r="AT44" s="107">
        <f t="shared" si="32"/>
        <v>96.1098793692438</v>
      </c>
    </row>
    <row r="45" spans="17:46">
      <c r="Q45">
        <v>38</v>
      </c>
      <c r="R45" s="105">
        <f t="shared" si="0"/>
        <v>20</v>
      </c>
      <c r="S45" s="106">
        <f t="shared" si="34"/>
        <v>0.253333333333333</v>
      </c>
      <c r="T45" s="106">
        <f t="shared" si="2"/>
        <v>4</v>
      </c>
      <c r="U45" s="107">
        <f t="shared" si="35"/>
        <v>1.26666666666667</v>
      </c>
      <c r="V45" s="105">
        <f t="shared" si="36"/>
        <v>2</v>
      </c>
      <c r="W45" s="106">
        <f t="shared" si="37"/>
        <v>0.833333333333333</v>
      </c>
      <c r="X45" s="107">
        <f t="shared" si="38"/>
        <v>0.166666666666667</v>
      </c>
      <c r="Y45" s="105">
        <f t="shared" si="18"/>
        <v>0.476190476190476</v>
      </c>
      <c r="Z45" s="106">
        <f t="shared" si="33"/>
        <v>1.99619047619048</v>
      </c>
      <c r="AA45" s="106">
        <f t="shared" si="19"/>
        <v>1.27410395647778</v>
      </c>
      <c r="AB45" s="106">
        <v>0</v>
      </c>
      <c r="AC45" s="106">
        <f t="shared" si="20"/>
        <v>0.0162334089191232</v>
      </c>
      <c r="AD45" s="107">
        <f t="shared" si="21"/>
        <v>0.0162334089191232</v>
      </c>
      <c r="AE45" s="105">
        <f t="shared" si="22"/>
        <v>0.267407407407407</v>
      </c>
      <c r="AF45" s="106">
        <f t="shared" si="23"/>
        <v>1.27410395647778</v>
      </c>
      <c r="AG45" s="106">
        <f t="shared" si="39"/>
        <v>0.0105517157974301</v>
      </c>
      <c r="AH45" s="106">
        <f t="shared" si="40"/>
        <v>-0.0721962658344853</v>
      </c>
      <c r="AI45" s="107">
        <f t="shared" si="24"/>
        <v>-0.0616445500370552</v>
      </c>
      <c r="AJ45" s="105">
        <f t="shared" si="25"/>
        <v>0.253333333333333</v>
      </c>
      <c r="AK45" s="106">
        <f t="shared" si="26"/>
        <v>0.719930009755697</v>
      </c>
      <c r="AL45" s="106">
        <f t="shared" si="27"/>
        <v>0.0823333333333333</v>
      </c>
      <c r="AM45" s="106">
        <f t="shared" si="41"/>
        <v>0</v>
      </c>
      <c r="AN45" s="107">
        <f t="shared" si="28"/>
        <v>0.0823333333333333</v>
      </c>
      <c r="AO45" s="105">
        <f t="shared" si="42"/>
        <v>0.0162334089191232</v>
      </c>
      <c r="AP45" s="106">
        <f t="shared" si="16"/>
        <v>0.1512</v>
      </c>
      <c r="AQ45" s="107">
        <f t="shared" si="29"/>
        <v>0.0132</v>
      </c>
      <c r="AR45" s="105">
        <f t="shared" si="30"/>
        <v>0.201322192215401</v>
      </c>
      <c r="AS45" s="106">
        <f t="shared" si="31"/>
        <v>5.06666666666667</v>
      </c>
      <c r="AT45" s="107">
        <f t="shared" si="32"/>
        <v>96.1783861430162</v>
      </c>
    </row>
    <row r="46" spans="17:46">
      <c r="Q46">
        <v>39</v>
      </c>
      <c r="R46" s="105">
        <f t="shared" si="0"/>
        <v>20</v>
      </c>
      <c r="S46" s="106">
        <f t="shared" si="34"/>
        <v>0.26</v>
      </c>
      <c r="T46" s="106">
        <f t="shared" si="2"/>
        <v>4</v>
      </c>
      <c r="U46" s="107">
        <f t="shared" si="35"/>
        <v>1.3</v>
      </c>
      <c r="V46" s="105">
        <f t="shared" si="36"/>
        <v>2</v>
      </c>
      <c r="W46" s="106">
        <f t="shared" si="37"/>
        <v>0.833333333333333</v>
      </c>
      <c r="X46" s="107">
        <f t="shared" si="38"/>
        <v>0.166666666666667</v>
      </c>
      <c r="Y46" s="105">
        <f t="shared" si="18"/>
        <v>0.476190476190476</v>
      </c>
      <c r="Z46" s="106">
        <f t="shared" si="33"/>
        <v>2.03619047619048</v>
      </c>
      <c r="AA46" s="106">
        <f t="shared" si="19"/>
        <v>1.30724766110629</v>
      </c>
      <c r="AB46" s="106">
        <v>0</v>
      </c>
      <c r="AC46" s="106">
        <f t="shared" si="20"/>
        <v>0.0170889644746788</v>
      </c>
      <c r="AD46" s="107">
        <f t="shared" si="21"/>
        <v>0.0170889644746788</v>
      </c>
      <c r="AE46" s="105">
        <f t="shared" si="22"/>
        <v>0.281666666666667</v>
      </c>
      <c r="AF46" s="106">
        <f t="shared" si="23"/>
        <v>1.30724766110629</v>
      </c>
      <c r="AG46" s="106">
        <f t="shared" si="39"/>
        <v>0.0111078269085412</v>
      </c>
      <c r="AH46" s="106">
        <f t="shared" si="40"/>
        <v>-0.0740961675669717</v>
      </c>
      <c r="AI46" s="107">
        <f t="shared" si="24"/>
        <v>-0.0629883406584305</v>
      </c>
      <c r="AJ46" s="105">
        <f t="shared" si="25"/>
        <v>0.26</v>
      </c>
      <c r="AK46" s="106">
        <f t="shared" si="26"/>
        <v>0.736211352435409</v>
      </c>
      <c r="AL46" s="106">
        <f t="shared" si="27"/>
        <v>0.0845</v>
      </c>
      <c r="AM46" s="106">
        <f t="shared" si="41"/>
        <v>0</v>
      </c>
      <c r="AN46" s="107">
        <f t="shared" si="28"/>
        <v>0.0845</v>
      </c>
      <c r="AO46" s="105">
        <f t="shared" si="42"/>
        <v>0.0170889644746788</v>
      </c>
      <c r="AP46" s="106">
        <f t="shared" si="16"/>
        <v>0.1512</v>
      </c>
      <c r="AQ46" s="107">
        <f t="shared" si="29"/>
        <v>0.0132</v>
      </c>
      <c r="AR46" s="105">
        <f t="shared" si="30"/>
        <v>0.203000623816248</v>
      </c>
      <c r="AS46" s="106">
        <f t="shared" si="31"/>
        <v>5.2</v>
      </c>
      <c r="AT46" s="107">
        <f t="shared" si="32"/>
        <v>96.2428169465421</v>
      </c>
    </row>
    <row r="47" spans="17:46">
      <c r="Q47">
        <v>40</v>
      </c>
      <c r="R47" s="105">
        <f t="shared" si="0"/>
        <v>20</v>
      </c>
      <c r="S47" s="106">
        <f t="shared" si="34"/>
        <v>0.266666666666667</v>
      </c>
      <c r="T47" s="106">
        <f t="shared" si="2"/>
        <v>4</v>
      </c>
      <c r="U47" s="107">
        <f t="shared" si="35"/>
        <v>1.33333333333333</v>
      </c>
      <c r="V47" s="105">
        <f t="shared" si="36"/>
        <v>2</v>
      </c>
      <c r="W47" s="106">
        <f t="shared" si="37"/>
        <v>0.833333333333333</v>
      </c>
      <c r="X47" s="107">
        <f t="shared" si="38"/>
        <v>0.166666666666667</v>
      </c>
      <c r="Y47" s="105">
        <f t="shared" si="18"/>
        <v>0.476190476190476</v>
      </c>
      <c r="Z47" s="106">
        <f t="shared" si="33"/>
        <v>2.07619047619048</v>
      </c>
      <c r="AA47" s="106">
        <f t="shared" si="19"/>
        <v>1.34040077038386</v>
      </c>
      <c r="AB47" s="106">
        <v>0</v>
      </c>
      <c r="AC47" s="106">
        <f t="shared" si="20"/>
        <v>0.0179667422524565</v>
      </c>
      <c r="AD47" s="107">
        <f t="shared" si="21"/>
        <v>0.0179667422524565</v>
      </c>
      <c r="AE47" s="105">
        <f t="shared" si="22"/>
        <v>0.296296296296296</v>
      </c>
      <c r="AF47" s="106">
        <f t="shared" si="23"/>
        <v>1.34040077038386</v>
      </c>
      <c r="AG47" s="106">
        <f t="shared" si="39"/>
        <v>0.0116783824640967</v>
      </c>
      <c r="AH47" s="106">
        <f t="shared" si="40"/>
        <v>-0.0759960692994582</v>
      </c>
      <c r="AI47" s="107">
        <f t="shared" si="24"/>
        <v>-0.0643176868353614</v>
      </c>
      <c r="AJ47" s="105">
        <f t="shared" si="25"/>
        <v>0.266666666666667</v>
      </c>
      <c r="AK47" s="106">
        <f t="shared" si="26"/>
        <v>0.752494800843198</v>
      </c>
      <c r="AL47" s="106">
        <f t="shared" si="27"/>
        <v>0.0866666666666667</v>
      </c>
      <c r="AM47" s="106">
        <f t="shared" si="41"/>
        <v>0</v>
      </c>
      <c r="AN47" s="107">
        <f t="shared" si="28"/>
        <v>0.0866666666666667</v>
      </c>
      <c r="AO47" s="105">
        <f t="shared" si="42"/>
        <v>0.0179667422524565</v>
      </c>
      <c r="AP47" s="106">
        <f t="shared" si="16"/>
        <v>0.1512</v>
      </c>
      <c r="AQ47" s="107">
        <f t="shared" si="29"/>
        <v>0.0132</v>
      </c>
      <c r="AR47" s="105">
        <f t="shared" si="30"/>
        <v>0.204715722083762</v>
      </c>
      <c r="AS47" s="106">
        <f t="shared" si="31"/>
        <v>5.33333333333333</v>
      </c>
      <c r="AT47" s="107">
        <f t="shared" si="32"/>
        <v>96.3034686035596</v>
      </c>
    </row>
    <row r="48" spans="17:46">
      <c r="Q48">
        <v>41</v>
      </c>
      <c r="R48" s="105">
        <f t="shared" si="0"/>
        <v>20</v>
      </c>
      <c r="S48" s="106">
        <f t="shared" si="34"/>
        <v>0.273333333333333</v>
      </c>
      <c r="T48" s="106">
        <f t="shared" si="2"/>
        <v>4</v>
      </c>
      <c r="U48" s="107">
        <f t="shared" si="35"/>
        <v>1.36666666666667</v>
      </c>
      <c r="V48" s="105">
        <f t="shared" si="36"/>
        <v>2</v>
      </c>
      <c r="W48" s="106">
        <f t="shared" si="37"/>
        <v>0.833333333333333</v>
      </c>
      <c r="X48" s="107">
        <f t="shared" si="38"/>
        <v>0.166666666666667</v>
      </c>
      <c r="Y48" s="105">
        <f t="shared" si="18"/>
        <v>0.476190476190476</v>
      </c>
      <c r="Z48" s="106">
        <f t="shared" si="33"/>
        <v>2.11619047619048</v>
      </c>
      <c r="AA48" s="106">
        <f t="shared" si="19"/>
        <v>1.37356260332234</v>
      </c>
      <c r="AB48" s="106">
        <v>0</v>
      </c>
      <c r="AC48" s="106">
        <f t="shared" si="20"/>
        <v>0.0188667422524565</v>
      </c>
      <c r="AD48" s="107">
        <f t="shared" si="21"/>
        <v>0.0188667422524565</v>
      </c>
      <c r="AE48" s="105">
        <f t="shared" si="22"/>
        <v>0.311296296296296</v>
      </c>
      <c r="AF48" s="106">
        <f t="shared" si="23"/>
        <v>1.37356260332234</v>
      </c>
      <c r="AG48" s="106">
        <f t="shared" si="39"/>
        <v>0.0122633824640968</v>
      </c>
      <c r="AH48" s="106">
        <f t="shared" si="40"/>
        <v>-0.0778959710319446</v>
      </c>
      <c r="AI48" s="107">
        <f t="shared" si="24"/>
        <v>-0.0656325885678479</v>
      </c>
      <c r="AJ48" s="105">
        <f t="shared" si="25"/>
        <v>0.273333333333333</v>
      </c>
      <c r="AK48" s="106">
        <f t="shared" si="26"/>
        <v>0.768780221175498</v>
      </c>
      <c r="AL48" s="106">
        <f t="shared" si="27"/>
        <v>0.0888333333333333</v>
      </c>
      <c r="AM48" s="106">
        <f t="shared" si="41"/>
        <v>0</v>
      </c>
      <c r="AN48" s="107">
        <f t="shared" si="28"/>
        <v>0.0888333333333333</v>
      </c>
      <c r="AO48" s="105">
        <f t="shared" si="42"/>
        <v>0.0188667422524565</v>
      </c>
      <c r="AP48" s="106">
        <f t="shared" si="16"/>
        <v>0.1512</v>
      </c>
      <c r="AQ48" s="107">
        <f t="shared" si="29"/>
        <v>0.0132</v>
      </c>
      <c r="AR48" s="105">
        <f t="shared" si="30"/>
        <v>0.206467487017942</v>
      </c>
      <c r="AS48" s="106">
        <f t="shared" si="31"/>
        <v>5.46666666666667</v>
      </c>
      <c r="AT48" s="107">
        <f t="shared" si="32"/>
        <v>96.3606098247501</v>
      </c>
    </row>
    <row r="49" spans="17:46">
      <c r="Q49">
        <v>42</v>
      </c>
      <c r="R49" s="105">
        <f t="shared" si="0"/>
        <v>20</v>
      </c>
      <c r="S49" s="106">
        <f t="shared" si="34"/>
        <v>0.28</v>
      </c>
      <c r="T49" s="106">
        <f t="shared" si="2"/>
        <v>4</v>
      </c>
      <c r="U49" s="107">
        <f t="shared" si="35"/>
        <v>1.4</v>
      </c>
      <c r="V49" s="105">
        <f t="shared" si="36"/>
        <v>2</v>
      </c>
      <c r="W49" s="106">
        <f t="shared" si="37"/>
        <v>0.833333333333333</v>
      </c>
      <c r="X49" s="107">
        <f t="shared" si="38"/>
        <v>0.166666666666667</v>
      </c>
      <c r="Y49" s="105">
        <f t="shared" si="18"/>
        <v>0.476190476190476</v>
      </c>
      <c r="Z49" s="106">
        <f t="shared" si="33"/>
        <v>2.15619047619048</v>
      </c>
      <c r="AA49" s="106">
        <f t="shared" si="19"/>
        <v>1.40673254297605</v>
      </c>
      <c r="AB49" s="106">
        <v>0</v>
      </c>
      <c r="AC49" s="106">
        <f t="shared" si="20"/>
        <v>0.0197889644746788</v>
      </c>
      <c r="AD49" s="107">
        <f t="shared" si="21"/>
        <v>0.0197889644746788</v>
      </c>
      <c r="AE49" s="105">
        <f t="shared" si="22"/>
        <v>0.326666666666667</v>
      </c>
      <c r="AF49" s="106">
        <f t="shared" si="23"/>
        <v>1.40673254297605</v>
      </c>
      <c r="AG49" s="106">
        <f t="shared" si="39"/>
        <v>0.0128628269085412</v>
      </c>
      <c r="AH49" s="106">
        <f t="shared" si="40"/>
        <v>-0.0797958727644311</v>
      </c>
      <c r="AI49" s="107">
        <f t="shared" si="24"/>
        <v>-0.0669330458558899</v>
      </c>
      <c r="AJ49" s="105">
        <f t="shared" si="25"/>
        <v>0.28</v>
      </c>
      <c r="AK49" s="106">
        <f t="shared" si="26"/>
        <v>0.785067490715661</v>
      </c>
      <c r="AL49" s="106">
        <f t="shared" si="27"/>
        <v>0.091</v>
      </c>
      <c r="AM49" s="106">
        <f t="shared" si="41"/>
        <v>0</v>
      </c>
      <c r="AN49" s="107">
        <f t="shared" si="28"/>
        <v>0.091</v>
      </c>
      <c r="AO49" s="105">
        <f t="shared" si="42"/>
        <v>0.0197889644746788</v>
      </c>
      <c r="AP49" s="106">
        <f t="shared" si="16"/>
        <v>0.1512</v>
      </c>
      <c r="AQ49" s="107">
        <f t="shared" si="29"/>
        <v>0.0132</v>
      </c>
      <c r="AR49" s="105">
        <f t="shared" si="30"/>
        <v>0.208255918618789</v>
      </c>
      <c r="AS49" s="106">
        <f t="shared" si="31"/>
        <v>5.6</v>
      </c>
      <c r="AT49" s="107">
        <f t="shared" si="32"/>
        <v>96.4144844590747</v>
      </c>
    </row>
    <row r="50" spans="17:46">
      <c r="Q50">
        <v>43</v>
      </c>
      <c r="R50" s="105">
        <f t="shared" si="0"/>
        <v>20</v>
      </c>
      <c r="S50" s="106">
        <f t="shared" si="34"/>
        <v>0.286666666666667</v>
      </c>
      <c r="T50" s="106">
        <f t="shared" si="2"/>
        <v>4</v>
      </c>
      <c r="U50" s="107">
        <f t="shared" si="35"/>
        <v>1.43333333333333</v>
      </c>
      <c r="V50" s="105">
        <f t="shared" si="36"/>
        <v>2</v>
      </c>
      <c r="W50" s="106">
        <f t="shared" si="37"/>
        <v>0.833333333333333</v>
      </c>
      <c r="X50" s="107">
        <f t="shared" si="38"/>
        <v>0.166666666666667</v>
      </c>
      <c r="Y50" s="105">
        <f t="shared" si="18"/>
        <v>0.476190476190476</v>
      </c>
      <c r="Z50" s="106">
        <f t="shared" si="33"/>
        <v>2.19619047619048</v>
      </c>
      <c r="AA50" s="106">
        <f t="shared" si="19"/>
        <v>1.43991002910332</v>
      </c>
      <c r="AB50" s="106">
        <v>0</v>
      </c>
      <c r="AC50" s="106">
        <f t="shared" si="20"/>
        <v>0.0207334089191232</v>
      </c>
      <c r="AD50" s="107">
        <f t="shared" si="21"/>
        <v>0.0207334089191232</v>
      </c>
      <c r="AE50" s="105">
        <f t="shared" si="22"/>
        <v>0.342407407407407</v>
      </c>
      <c r="AF50" s="106">
        <f t="shared" si="23"/>
        <v>1.43991002910332</v>
      </c>
      <c r="AG50" s="106">
        <f t="shared" si="39"/>
        <v>0.0134767157974301</v>
      </c>
      <c r="AH50" s="106">
        <f t="shared" si="40"/>
        <v>-0.0816957744969175</v>
      </c>
      <c r="AI50" s="107">
        <f t="shared" si="24"/>
        <v>-0.0682190586994874</v>
      </c>
      <c r="AJ50" s="105">
        <f t="shared" si="25"/>
        <v>0.286666666666667</v>
      </c>
      <c r="AK50" s="106">
        <f t="shared" si="26"/>
        <v>0.80135649671033</v>
      </c>
      <c r="AL50" s="106">
        <f t="shared" si="27"/>
        <v>0.0931666666666667</v>
      </c>
      <c r="AM50" s="106">
        <f t="shared" si="41"/>
        <v>0</v>
      </c>
      <c r="AN50" s="107">
        <f t="shared" si="28"/>
        <v>0.0931666666666667</v>
      </c>
      <c r="AO50" s="105">
        <f t="shared" si="42"/>
        <v>0.0207334089191232</v>
      </c>
      <c r="AP50" s="106">
        <f t="shared" si="16"/>
        <v>0.1512</v>
      </c>
      <c r="AQ50" s="107">
        <f t="shared" si="29"/>
        <v>0.0132</v>
      </c>
      <c r="AR50" s="105">
        <f t="shared" si="30"/>
        <v>0.210081016886302</v>
      </c>
      <c r="AS50" s="106">
        <f t="shared" si="31"/>
        <v>5.73333333333333</v>
      </c>
      <c r="AT50" s="107">
        <f t="shared" si="32"/>
        <v>96.4653143040828</v>
      </c>
    </row>
    <row r="51" spans="17:46">
      <c r="Q51">
        <v>44</v>
      </c>
      <c r="R51" s="105">
        <f t="shared" si="0"/>
        <v>20</v>
      </c>
      <c r="S51" s="106">
        <f t="shared" si="34"/>
        <v>0.293333333333333</v>
      </c>
      <c r="T51" s="106">
        <f t="shared" si="2"/>
        <v>4</v>
      </c>
      <c r="U51" s="107">
        <f t="shared" si="35"/>
        <v>1.46666666666667</v>
      </c>
      <c r="V51" s="105">
        <f t="shared" si="36"/>
        <v>2</v>
      </c>
      <c r="W51" s="106">
        <f t="shared" si="37"/>
        <v>0.833333333333333</v>
      </c>
      <c r="X51" s="107">
        <f t="shared" si="38"/>
        <v>0.166666666666667</v>
      </c>
      <c r="Y51" s="105">
        <f t="shared" si="18"/>
        <v>0.476190476190476</v>
      </c>
      <c r="Z51" s="106">
        <f t="shared" si="33"/>
        <v>2.23619047619048</v>
      </c>
      <c r="AA51" s="106">
        <f t="shared" si="19"/>
        <v>1.47309455181227</v>
      </c>
      <c r="AB51" s="106">
        <v>0</v>
      </c>
      <c r="AC51" s="106">
        <f t="shared" si="20"/>
        <v>0.0217000755857899</v>
      </c>
      <c r="AD51" s="107">
        <f t="shared" si="21"/>
        <v>0.0217000755857899</v>
      </c>
      <c r="AE51" s="105">
        <f t="shared" si="22"/>
        <v>0.358518518518519</v>
      </c>
      <c r="AF51" s="106">
        <f t="shared" si="23"/>
        <v>1.47309455181227</v>
      </c>
      <c r="AG51" s="106">
        <f t="shared" si="39"/>
        <v>0.0141050491307634</v>
      </c>
      <c r="AH51" s="106">
        <f t="shared" si="40"/>
        <v>-0.083595676229404</v>
      </c>
      <c r="AI51" s="107">
        <f t="shared" si="24"/>
        <v>-0.0694906270986406</v>
      </c>
      <c r="AJ51" s="105">
        <f t="shared" si="25"/>
        <v>0.293333333333333</v>
      </c>
      <c r="AK51" s="106">
        <f t="shared" si="26"/>
        <v>0.817647135379595</v>
      </c>
      <c r="AL51" s="106">
        <f t="shared" si="27"/>
        <v>0.0953333333333333</v>
      </c>
      <c r="AM51" s="106">
        <f t="shared" si="41"/>
        <v>0</v>
      </c>
      <c r="AN51" s="107">
        <f t="shared" si="28"/>
        <v>0.0953333333333333</v>
      </c>
      <c r="AO51" s="105">
        <f t="shared" si="42"/>
        <v>0.0217000755857899</v>
      </c>
      <c r="AP51" s="106">
        <f t="shared" si="16"/>
        <v>0.1512</v>
      </c>
      <c r="AQ51" s="107">
        <f t="shared" si="29"/>
        <v>0.0132</v>
      </c>
      <c r="AR51" s="105">
        <f t="shared" si="30"/>
        <v>0.211942781820483</v>
      </c>
      <c r="AS51" s="106">
        <f t="shared" si="31"/>
        <v>5.86666666666667</v>
      </c>
      <c r="AT51" s="107">
        <f t="shared" si="32"/>
        <v>96.5133015434438</v>
      </c>
    </row>
    <row r="52" spans="17:46">
      <c r="Q52">
        <v>45</v>
      </c>
      <c r="R52" s="105">
        <f t="shared" si="0"/>
        <v>20</v>
      </c>
      <c r="S52" s="106">
        <f t="shared" si="34"/>
        <v>0.3</v>
      </c>
      <c r="T52" s="106">
        <f t="shared" si="2"/>
        <v>4</v>
      </c>
      <c r="U52" s="107">
        <f t="shared" si="35"/>
        <v>1.5</v>
      </c>
      <c r="V52" s="105">
        <f t="shared" si="36"/>
        <v>2</v>
      </c>
      <c r="W52" s="106">
        <f t="shared" si="37"/>
        <v>0.833333333333333</v>
      </c>
      <c r="X52" s="107">
        <f t="shared" si="38"/>
        <v>0.166666666666667</v>
      </c>
      <c r="Y52" s="105">
        <f t="shared" si="18"/>
        <v>0.476190476190476</v>
      </c>
      <c r="Z52" s="106">
        <f t="shared" si="33"/>
        <v>2.27619047619048</v>
      </c>
      <c r="AA52" s="106">
        <f t="shared" si="19"/>
        <v>1.50628564604058</v>
      </c>
      <c r="AB52" s="106">
        <v>0</v>
      </c>
      <c r="AC52" s="106">
        <f t="shared" si="20"/>
        <v>0.0226889644746788</v>
      </c>
      <c r="AD52" s="107">
        <f t="shared" si="21"/>
        <v>0.0226889644746788</v>
      </c>
      <c r="AE52" s="105">
        <f t="shared" si="22"/>
        <v>0.375</v>
      </c>
      <c r="AF52" s="106">
        <f t="shared" si="23"/>
        <v>1.50628564604058</v>
      </c>
      <c r="AG52" s="106">
        <f t="shared" si="39"/>
        <v>0.0147478269085412</v>
      </c>
      <c r="AH52" s="106">
        <f t="shared" si="40"/>
        <v>-0.0854955779618904</v>
      </c>
      <c r="AI52" s="107">
        <f t="shared" si="24"/>
        <v>-0.0707477510533492</v>
      </c>
      <c r="AJ52" s="105">
        <f t="shared" si="25"/>
        <v>0.3</v>
      </c>
      <c r="AK52" s="106">
        <f t="shared" si="26"/>
        <v>0.833939311042712</v>
      </c>
      <c r="AL52" s="106">
        <f t="shared" si="27"/>
        <v>0.0975</v>
      </c>
      <c r="AM52" s="106">
        <f t="shared" si="41"/>
        <v>0</v>
      </c>
      <c r="AN52" s="107">
        <f t="shared" si="28"/>
        <v>0.0975</v>
      </c>
      <c r="AO52" s="105">
        <f t="shared" si="42"/>
        <v>0.0226889644746788</v>
      </c>
      <c r="AP52" s="106">
        <f t="shared" si="16"/>
        <v>0.1512</v>
      </c>
      <c r="AQ52" s="107">
        <f t="shared" si="29"/>
        <v>0.0132</v>
      </c>
      <c r="AR52" s="105">
        <f t="shared" si="30"/>
        <v>0.21384121342133</v>
      </c>
      <c r="AS52" s="106">
        <f t="shared" si="31"/>
        <v>6</v>
      </c>
      <c r="AT52" s="107">
        <f t="shared" si="32"/>
        <v>96.5586308681424</v>
      </c>
    </row>
    <row r="53" spans="17:46">
      <c r="Q53">
        <v>46</v>
      </c>
      <c r="R53" s="105">
        <f t="shared" si="0"/>
        <v>20</v>
      </c>
      <c r="S53" s="106">
        <f t="shared" si="34"/>
        <v>0.306666666666667</v>
      </c>
      <c r="T53" s="106">
        <f t="shared" si="2"/>
        <v>4</v>
      </c>
      <c r="U53" s="107">
        <f t="shared" si="35"/>
        <v>1.53333333333333</v>
      </c>
      <c r="V53" s="105">
        <f t="shared" si="36"/>
        <v>2</v>
      </c>
      <c r="W53" s="106">
        <f t="shared" si="37"/>
        <v>0.833333333333333</v>
      </c>
      <c r="X53" s="107">
        <f t="shared" si="38"/>
        <v>0.166666666666667</v>
      </c>
      <c r="Y53" s="105">
        <f t="shared" si="18"/>
        <v>0.476190476190476</v>
      </c>
      <c r="Z53" s="106">
        <f t="shared" si="33"/>
        <v>2.31619047619048</v>
      </c>
      <c r="AA53" s="106">
        <f t="shared" si="19"/>
        <v>1.53948288674444</v>
      </c>
      <c r="AB53" s="106">
        <v>0</v>
      </c>
      <c r="AC53" s="106">
        <f t="shared" si="20"/>
        <v>0.0237000755857899</v>
      </c>
      <c r="AD53" s="107">
        <f t="shared" si="21"/>
        <v>0.0237000755857899</v>
      </c>
      <c r="AE53" s="105">
        <f t="shared" si="22"/>
        <v>0.391851851851852</v>
      </c>
      <c r="AF53" s="106">
        <f t="shared" si="23"/>
        <v>1.53948288674444</v>
      </c>
      <c r="AG53" s="106">
        <f t="shared" si="39"/>
        <v>0.0154050491307634</v>
      </c>
      <c r="AH53" s="106">
        <f t="shared" si="40"/>
        <v>-0.0873954796943769</v>
      </c>
      <c r="AI53" s="107">
        <f t="shared" si="24"/>
        <v>-0.0719904305636135</v>
      </c>
      <c r="AJ53" s="105">
        <f t="shared" si="25"/>
        <v>0.306666666666667</v>
      </c>
      <c r="AK53" s="106">
        <f t="shared" si="26"/>
        <v>0.850232935343993</v>
      </c>
      <c r="AL53" s="106">
        <f t="shared" si="27"/>
        <v>0.0996666666666667</v>
      </c>
      <c r="AM53" s="106">
        <f t="shared" si="41"/>
        <v>0</v>
      </c>
      <c r="AN53" s="107">
        <f t="shared" si="28"/>
        <v>0.0996666666666667</v>
      </c>
      <c r="AO53" s="105">
        <f t="shared" si="42"/>
        <v>0.0237000755857899</v>
      </c>
      <c r="AP53" s="106">
        <f t="shared" si="16"/>
        <v>0.1512</v>
      </c>
      <c r="AQ53" s="107">
        <f t="shared" si="29"/>
        <v>0.0132</v>
      </c>
      <c r="AR53" s="105">
        <f t="shared" si="30"/>
        <v>0.215776311688843</v>
      </c>
      <c r="AS53" s="106">
        <f t="shared" si="31"/>
        <v>6.13333333333333</v>
      </c>
      <c r="AT53" s="107">
        <f t="shared" si="32"/>
        <v>96.6014713282198</v>
      </c>
    </row>
    <row r="54" spans="17:46">
      <c r="Q54">
        <v>47</v>
      </c>
      <c r="R54" s="105">
        <f t="shared" si="0"/>
        <v>20</v>
      </c>
      <c r="S54" s="106">
        <f t="shared" si="34"/>
        <v>0.313333333333333</v>
      </c>
      <c r="T54" s="106">
        <f t="shared" si="2"/>
        <v>4</v>
      </c>
      <c r="U54" s="107">
        <f t="shared" si="35"/>
        <v>1.56666666666667</v>
      </c>
      <c r="V54" s="105">
        <f t="shared" si="36"/>
        <v>2</v>
      </c>
      <c r="W54" s="106">
        <f t="shared" si="37"/>
        <v>0.833333333333333</v>
      </c>
      <c r="X54" s="107">
        <f t="shared" si="38"/>
        <v>0.166666666666667</v>
      </c>
      <c r="Y54" s="105">
        <f t="shared" si="18"/>
        <v>0.476190476190476</v>
      </c>
      <c r="Z54" s="106">
        <f t="shared" si="33"/>
        <v>2.35619047619048</v>
      </c>
      <c r="AA54" s="106">
        <f t="shared" si="19"/>
        <v>1.57268588469291</v>
      </c>
      <c r="AB54" s="106">
        <v>0</v>
      </c>
      <c r="AC54" s="106">
        <f t="shared" si="20"/>
        <v>0.0247334089191232</v>
      </c>
      <c r="AD54" s="107">
        <f t="shared" si="21"/>
        <v>0.0247334089191232</v>
      </c>
      <c r="AE54" s="105">
        <f t="shared" si="22"/>
        <v>0.409074074074074</v>
      </c>
      <c r="AF54" s="106">
        <f t="shared" si="23"/>
        <v>1.57268588469291</v>
      </c>
      <c r="AG54" s="106">
        <f t="shared" si="39"/>
        <v>0.0160767157974301</v>
      </c>
      <c r="AH54" s="106">
        <f t="shared" si="40"/>
        <v>-0.0892953814268633</v>
      </c>
      <c r="AI54" s="107">
        <f t="shared" si="24"/>
        <v>-0.0732186656294333</v>
      </c>
      <c r="AJ54" s="105">
        <f t="shared" si="25"/>
        <v>0.313333333333333</v>
      </c>
      <c r="AK54" s="106">
        <f t="shared" si="26"/>
        <v>0.866527926565709</v>
      </c>
      <c r="AL54" s="106">
        <f t="shared" si="27"/>
        <v>0.101833333333333</v>
      </c>
      <c r="AM54" s="106">
        <f t="shared" si="41"/>
        <v>0</v>
      </c>
      <c r="AN54" s="107">
        <f t="shared" si="28"/>
        <v>0.101833333333333</v>
      </c>
      <c r="AO54" s="105">
        <f t="shared" si="42"/>
        <v>0.0247334089191232</v>
      </c>
      <c r="AP54" s="106">
        <f t="shared" si="16"/>
        <v>0.1512</v>
      </c>
      <c r="AQ54" s="107">
        <f t="shared" si="29"/>
        <v>0.0132</v>
      </c>
      <c r="AR54" s="105">
        <f t="shared" si="30"/>
        <v>0.217748076623023</v>
      </c>
      <c r="AS54" s="106">
        <f t="shared" si="31"/>
        <v>6.26666666666667</v>
      </c>
      <c r="AT54" s="107">
        <f t="shared" si="32"/>
        <v>96.6419779541653</v>
      </c>
    </row>
    <row r="55" spans="17:46">
      <c r="Q55">
        <v>48</v>
      </c>
      <c r="R55" s="105">
        <f t="shared" si="0"/>
        <v>20</v>
      </c>
      <c r="S55" s="106">
        <f t="shared" si="34"/>
        <v>0.32</v>
      </c>
      <c r="T55" s="106">
        <f t="shared" si="2"/>
        <v>4</v>
      </c>
      <c r="U55" s="107">
        <f t="shared" si="35"/>
        <v>1.6</v>
      </c>
      <c r="V55" s="105">
        <f t="shared" si="36"/>
        <v>2</v>
      </c>
      <c r="W55" s="106">
        <f t="shared" si="37"/>
        <v>0.833333333333333</v>
      </c>
      <c r="X55" s="107">
        <f t="shared" si="38"/>
        <v>0.166666666666667</v>
      </c>
      <c r="Y55" s="105">
        <f t="shared" si="18"/>
        <v>0.476190476190476</v>
      </c>
      <c r="Z55" s="106">
        <f t="shared" si="33"/>
        <v>2.39619047619048</v>
      </c>
      <c r="AA55" s="106">
        <f t="shared" si="19"/>
        <v>1.60589428278074</v>
      </c>
      <c r="AB55" s="106">
        <v>0</v>
      </c>
      <c r="AC55" s="106">
        <f t="shared" si="20"/>
        <v>0.0257889644746788</v>
      </c>
      <c r="AD55" s="107">
        <f t="shared" si="21"/>
        <v>0.0257889644746788</v>
      </c>
      <c r="AE55" s="105">
        <f t="shared" si="22"/>
        <v>0.426666666666667</v>
      </c>
      <c r="AF55" s="106">
        <f t="shared" si="23"/>
        <v>1.60589428278074</v>
      </c>
      <c r="AG55" s="106">
        <f t="shared" si="39"/>
        <v>0.0167628269085412</v>
      </c>
      <c r="AH55" s="106">
        <f t="shared" si="40"/>
        <v>-0.0911952831593498</v>
      </c>
      <c r="AI55" s="107">
        <f t="shared" si="24"/>
        <v>-0.0744324562508086</v>
      </c>
      <c r="AJ55" s="105">
        <f t="shared" si="25"/>
        <v>0.32</v>
      </c>
      <c r="AK55" s="106">
        <f t="shared" si="26"/>
        <v>0.882824209016836</v>
      </c>
      <c r="AL55" s="106">
        <f t="shared" si="27"/>
        <v>0.104</v>
      </c>
      <c r="AM55" s="106">
        <f t="shared" si="41"/>
        <v>0</v>
      </c>
      <c r="AN55" s="107">
        <f t="shared" si="28"/>
        <v>0.104</v>
      </c>
      <c r="AO55" s="105">
        <f t="shared" si="42"/>
        <v>0.0257889644746788</v>
      </c>
      <c r="AP55" s="106">
        <f t="shared" si="16"/>
        <v>0.1512</v>
      </c>
      <c r="AQ55" s="107">
        <f t="shared" si="29"/>
        <v>0.0132</v>
      </c>
      <c r="AR55" s="105">
        <f t="shared" si="30"/>
        <v>0.21975650822387</v>
      </c>
      <c r="AS55" s="106">
        <f t="shared" si="31"/>
        <v>6.4</v>
      </c>
      <c r="AT55" s="107">
        <f t="shared" si="32"/>
        <v>96.6802931807105</v>
      </c>
    </row>
    <row r="56" spans="17:46">
      <c r="Q56">
        <v>49</v>
      </c>
      <c r="R56" s="105">
        <f t="shared" si="0"/>
        <v>20</v>
      </c>
      <c r="S56" s="106">
        <f t="shared" si="34"/>
        <v>0.326666666666667</v>
      </c>
      <c r="T56" s="106">
        <f t="shared" si="2"/>
        <v>4</v>
      </c>
      <c r="U56" s="107">
        <f t="shared" si="35"/>
        <v>1.63333333333333</v>
      </c>
      <c r="V56" s="105">
        <f t="shared" si="36"/>
        <v>2</v>
      </c>
      <c r="W56" s="106">
        <f t="shared" si="37"/>
        <v>0.833333333333333</v>
      </c>
      <c r="X56" s="107">
        <f t="shared" si="38"/>
        <v>0.166666666666667</v>
      </c>
      <c r="Y56" s="105">
        <f t="shared" si="18"/>
        <v>0.476190476190476</v>
      </c>
      <c r="Z56" s="106">
        <f t="shared" si="33"/>
        <v>2.43619047619048</v>
      </c>
      <c r="AA56" s="106">
        <f t="shared" si="19"/>
        <v>1.63910775278676</v>
      </c>
      <c r="AB56" s="106">
        <v>0</v>
      </c>
      <c r="AC56" s="106">
        <f t="shared" si="20"/>
        <v>0.0268667422524565</v>
      </c>
      <c r="AD56" s="107">
        <f t="shared" si="21"/>
        <v>0.0268667422524565</v>
      </c>
      <c r="AE56" s="105">
        <f t="shared" si="22"/>
        <v>0.44462962962963</v>
      </c>
      <c r="AF56" s="106">
        <f t="shared" si="23"/>
        <v>1.63910775278676</v>
      </c>
      <c r="AG56" s="106">
        <f t="shared" si="39"/>
        <v>0.0174633824640968</v>
      </c>
      <c r="AH56" s="106">
        <f t="shared" si="40"/>
        <v>-0.0930951848918362</v>
      </c>
      <c r="AI56" s="107">
        <f t="shared" si="24"/>
        <v>-0.0756318024277395</v>
      </c>
      <c r="AJ56" s="105">
        <f t="shared" si="25"/>
        <v>0.326666666666667</v>
      </c>
      <c r="AK56" s="106">
        <f t="shared" si="26"/>
        <v>0.899121712488066</v>
      </c>
      <c r="AL56" s="106">
        <f t="shared" si="27"/>
        <v>0.106166666666667</v>
      </c>
      <c r="AM56" s="106">
        <f t="shared" si="41"/>
        <v>0</v>
      </c>
      <c r="AN56" s="107">
        <f t="shared" si="28"/>
        <v>0.106166666666667</v>
      </c>
      <c r="AO56" s="105">
        <f t="shared" si="42"/>
        <v>0.0268667422524565</v>
      </c>
      <c r="AP56" s="106">
        <f t="shared" si="16"/>
        <v>0.1512</v>
      </c>
      <c r="AQ56" s="107">
        <f t="shared" si="29"/>
        <v>0.0132</v>
      </c>
      <c r="AR56" s="105">
        <f t="shared" si="30"/>
        <v>0.221801606491384</v>
      </c>
      <c r="AS56" s="106">
        <f t="shared" si="31"/>
        <v>6.53333333333333</v>
      </c>
      <c r="AT56" s="107">
        <f t="shared" si="32"/>
        <v>96.7165481005604</v>
      </c>
    </row>
    <row r="57" spans="17:46">
      <c r="Q57">
        <v>50</v>
      </c>
      <c r="R57" s="105">
        <f t="shared" si="0"/>
        <v>20</v>
      </c>
      <c r="S57" s="106">
        <f t="shared" si="34"/>
        <v>0.333333333333333</v>
      </c>
      <c r="T57" s="106">
        <f t="shared" si="2"/>
        <v>4</v>
      </c>
      <c r="U57" s="107">
        <f t="shared" si="35"/>
        <v>1.66666666666667</v>
      </c>
      <c r="V57" s="105">
        <f t="shared" si="36"/>
        <v>2</v>
      </c>
      <c r="W57" s="106">
        <f t="shared" si="37"/>
        <v>0.833333333333333</v>
      </c>
      <c r="X57" s="107">
        <f t="shared" si="38"/>
        <v>0.166666666666667</v>
      </c>
      <c r="Y57" s="105">
        <f t="shared" si="18"/>
        <v>0.476190476190476</v>
      </c>
      <c r="Z57" s="106">
        <f t="shared" si="33"/>
        <v>2.47619047619048</v>
      </c>
      <c r="AA57" s="106">
        <f t="shared" si="19"/>
        <v>1.67232599251631</v>
      </c>
      <c r="AB57" s="106">
        <v>0</v>
      </c>
      <c r="AC57" s="106">
        <f t="shared" si="20"/>
        <v>0.0279667422524565</v>
      </c>
      <c r="AD57" s="107">
        <f t="shared" si="21"/>
        <v>0.0279667422524565</v>
      </c>
      <c r="AE57" s="105">
        <f t="shared" si="22"/>
        <v>0.462962962962963</v>
      </c>
      <c r="AF57" s="106">
        <f t="shared" si="23"/>
        <v>1.67232599251631</v>
      </c>
      <c r="AG57" s="106">
        <f t="shared" si="39"/>
        <v>0.0181783824640968</v>
      </c>
      <c r="AH57" s="106">
        <f t="shared" si="40"/>
        <v>-0.0949950866243227</v>
      </c>
      <c r="AI57" s="107">
        <f t="shared" si="24"/>
        <v>-0.076816704160226</v>
      </c>
      <c r="AJ57" s="105">
        <f t="shared" si="25"/>
        <v>0.333333333333333</v>
      </c>
      <c r="AK57" s="106">
        <f t="shared" si="26"/>
        <v>0.915420371764839</v>
      </c>
      <c r="AL57" s="106">
        <f t="shared" si="27"/>
        <v>0.108333333333333</v>
      </c>
      <c r="AM57" s="106">
        <f t="shared" si="41"/>
        <v>0</v>
      </c>
      <c r="AN57" s="107">
        <f t="shared" si="28"/>
        <v>0.108333333333333</v>
      </c>
      <c r="AO57" s="105">
        <f t="shared" si="42"/>
        <v>0.0279667422524565</v>
      </c>
      <c r="AP57" s="106">
        <f t="shared" si="16"/>
        <v>0.1512</v>
      </c>
      <c r="AQ57" s="107">
        <f t="shared" si="29"/>
        <v>0.0132</v>
      </c>
      <c r="AR57" s="105">
        <f t="shared" si="30"/>
        <v>0.223883371425564</v>
      </c>
      <c r="AS57" s="106">
        <f t="shared" si="31"/>
        <v>6.66666666666667</v>
      </c>
      <c r="AT57" s="107">
        <f t="shared" si="32"/>
        <v>96.7508635712984</v>
      </c>
    </row>
    <row r="58" spans="17:46">
      <c r="Q58">
        <v>51</v>
      </c>
      <c r="R58" s="105">
        <f t="shared" si="0"/>
        <v>20</v>
      </c>
      <c r="S58" s="106">
        <f t="shared" si="34"/>
        <v>0.34</v>
      </c>
      <c r="T58" s="106">
        <f t="shared" si="2"/>
        <v>4</v>
      </c>
      <c r="U58" s="107">
        <f t="shared" si="35"/>
        <v>1.7</v>
      </c>
      <c r="V58" s="105">
        <f t="shared" si="36"/>
        <v>2</v>
      </c>
      <c r="W58" s="106">
        <f t="shared" si="37"/>
        <v>0.833333333333333</v>
      </c>
      <c r="X58" s="107">
        <f t="shared" si="38"/>
        <v>0.166666666666667</v>
      </c>
      <c r="Y58" s="105">
        <f t="shared" si="18"/>
        <v>0.476190476190476</v>
      </c>
      <c r="Z58" s="106">
        <f t="shared" si="33"/>
        <v>2.51619047619048</v>
      </c>
      <c r="AA58" s="106">
        <f t="shared" si="19"/>
        <v>1.70554872327585</v>
      </c>
      <c r="AB58" s="106">
        <v>0</v>
      </c>
      <c r="AC58" s="106">
        <f t="shared" si="20"/>
        <v>0.0290889644746788</v>
      </c>
      <c r="AD58" s="107">
        <f t="shared" si="21"/>
        <v>0.0290889644746788</v>
      </c>
      <c r="AE58" s="105">
        <f t="shared" si="22"/>
        <v>0.481666666666667</v>
      </c>
      <c r="AF58" s="106">
        <f t="shared" si="23"/>
        <v>1.70554872327585</v>
      </c>
      <c r="AG58" s="106">
        <f t="shared" si="39"/>
        <v>0.0189078269085412</v>
      </c>
      <c r="AH58" s="106">
        <f t="shared" si="40"/>
        <v>-0.0968949883568092</v>
      </c>
      <c r="AI58" s="107">
        <f t="shared" si="24"/>
        <v>-0.0779871614482679</v>
      </c>
      <c r="AJ58" s="105">
        <f t="shared" si="25"/>
        <v>0.34</v>
      </c>
      <c r="AK58" s="106">
        <f t="shared" si="26"/>
        <v>0.931720126191343</v>
      </c>
      <c r="AL58" s="106">
        <f t="shared" si="27"/>
        <v>0.1105</v>
      </c>
      <c r="AM58" s="106">
        <f t="shared" si="41"/>
        <v>0</v>
      </c>
      <c r="AN58" s="107">
        <f t="shared" si="28"/>
        <v>0.1105</v>
      </c>
      <c r="AO58" s="105">
        <f t="shared" si="42"/>
        <v>0.0290889644746788</v>
      </c>
      <c r="AP58" s="106">
        <f t="shared" si="16"/>
        <v>0.1512</v>
      </c>
      <c r="AQ58" s="107">
        <f t="shared" si="29"/>
        <v>0.0132</v>
      </c>
      <c r="AR58" s="105">
        <f t="shared" si="30"/>
        <v>0.226001803026411</v>
      </c>
      <c r="AS58" s="106">
        <f t="shared" si="31"/>
        <v>6.8</v>
      </c>
      <c r="AT58" s="107">
        <f t="shared" si="32"/>
        <v>96.7833511951411</v>
      </c>
    </row>
    <row r="59" spans="17:46">
      <c r="Q59">
        <v>52</v>
      </c>
      <c r="R59" s="105">
        <f t="shared" si="0"/>
        <v>20</v>
      </c>
      <c r="S59" s="106">
        <f t="shared" si="34"/>
        <v>0.346666666666667</v>
      </c>
      <c r="T59" s="106">
        <f t="shared" si="2"/>
        <v>4</v>
      </c>
      <c r="U59" s="107">
        <f t="shared" si="35"/>
        <v>1.73333333333333</v>
      </c>
      <c r="V59" s="105">
        <f t="shared" si="36"/>
        <v>2</v>
      </c>
      <c r="W59" s="106">
        <f t="shared" si="37"/>
        <v>0.833333333333333</v>
      </c>
      <c r="X59" s="107">
        <f t="shared" si="38"/>
        <v>0.166666666666667</v>
      </c>
      <c r="Y59" s="105">
        <f t="shared" si="18"/>
        <v>0.476190476190476</v>
      </c>
      <c r="Z59" s="106">
        <f t="shared" si="33"/>
        <v>2.55619047619048</v>
      </c>
      <c r="AA59" s="106">
        <f t="shared" si="19"/>
        <v>1.7387756876355</v>
      </c>
      <c r="AB59" s="106">
        <v>0</v>
      </c>
      <c r="AC59" s="106">
        <f t="shared" si="20"/>
        <v>0.0302334089191232</v>
      </c>
      <c r="AD59" s="107">
        <f t="shared" si="21"/>
        <v>0.0302334089191232</v>
      </c>
      <c r="AE59" s="105">
        <f t="shared" si="22"/>
        <v>0.500740740740741</v>
      </c>
      <c r="AF59" s="106">
        <f t="shared" si="23"/>
        <v>1.7387756876355</v>
      </c>
      <c r="AG59" s="106">
        <f t="shared" si="39"/>
        <v>0.0196517157974301</v>
      </c>
      <c r="AH59" s="106">
        <f t="shared" si="40"/>
        <v>-0.0987948900892956</v>
      </c>
      <c r="AI59" s="107">
        <f t="shared" si="24"/>
        <v>-0.0791431742918655</v>
      </c>
      <c r="AJ59" s="105">
        <f t="shared" si="25"/>
        <v>0.346666666666667</v>
      </c>
      <c r="AK59" s="106">
        <f t="shared" si="26"/>
        <v>0.94802091927936</v>
      </c>
      <c r="AL59" s="106">
        <f t="shared" si="27"/>
        <v>0.112666666666667</v>
      </c>
      <c r="AM59" s="106">
        <f t="shared" si="41"/>
        <v>0</v>
      </c>
      <c r="AN59" s="107">
        <f t="shared" si="28"/>
        <v>0.112666666666667</v>
      </c>
      <c r="AO59" s="105">
        <f t="shared" si="42"/>
        <v>0.0302334089191232</v>
      </c>
      <c r="AP59" s="106">
        <f t="shared" si="16"/>
        <v>0.1512</v>
      </c>
      <c r="AQ59" s="107">
        <f t="shared" si="29"/>
        <v>0.0132</v>
      </c>
      <c r="AR59" s="105">
        <f t="shared" si="30"/>
        <v>0.228156901293924</v>
      </c>
      <c r="AS59" s="106">
        <f t="shared" si="31"/>
        <v>6.93333333333333</v>
      </c>
      <c r="AT59" s="107">
        <f t="shared" si="32"/>
        <v>96.8141141882629</v>
      </c>
    </row>
    <row r="60" spans="17:46">
      <c r="Q60">
        <v>53</v>
      </c>
      <c r="R60" s="105">
        <f t="shared" si="0"/>
        <v>20</v>
      </c>
      <c r="S60" s="106">
        <f t="shared" si="34"/>
        <v>0.353333333333333</v>
      </c>
      <c r="T60" s="106">
        <f t="shared" si="2"/>
        <v>4</v>
      </c>
      <c r="U60" s="107">
        <f t="shared" si="35"/>
        <v>1.76666666666667</v>
      </c>
      <c r="V60" s="105">
        <f t="shared" si="36"/>
        <v>2</v>
      </c>
      <c r="W60" s="106">
        <f t="shared" si="37"/>
        <v>0.833333333333333</v>
      </c>
      <c r="X60" s="107">
        <f t="shared" si="38"/>
        <v>0.166666666666667</v>
      </c>
      <c r="Y60" s="105">
        <f t="shared" si="18"/>
        <v>0.476190476190476</v>
      </c>
      <c r="Z60" s="106">
        <f t="shared" si="33"/>
        <v>2.59619047619048</v>
      </c>
      <c r="AA60" s="106">
        <f t="shared" si="19"/>
        <v>1.7720066474421</v>
      </c>
      <c r="AB60" s="106">
        <v>0</v>
      </c>
      <c r="AC60" s="106">
        <f t="shared" si="20"/>
        <v>0.0314000755857899</v>
      </c>
      <c r="AD60" s="107">
        <f t="shared" si="21"/>
        <v>0.0314000755857899</v>
      </c>
      <c r="AE60" s="105">
        <f t="shared" si="22"/>
        <v>0.520185185185185</v>
      </c>
      <c r="AF60" s="106">
        <f t="shared" si="23"/>
        <v>1.7720066474421</v>
      </c>
      <c r="AG60" s="106">
        <f t="shared" si="39"/>
        <v>0.0204100491307634</v>
      </c>
      <c r="AH60" s="106">
        <f t="shared" si="40"/>
        <v>-0.100694791821782</v>
      </c>
      <c r="AI60" s="107">
        <f t="shared" si="24"/>
        <v>-0.0802847426910186</v>
      </c>
      <c r="AJ60" s="105">
        <f t="shared" si="25"/>
        <v>0.353333333333333</v>
      </c>
      <c r="AK60" s="106">
        <f t="shared" si="26"/>
        <v>0.964322698356668</v>
      </c>
      <c r="AL60" s="106">
        <f t="shared" si="27"/>
        <v>0.114833333333333</v>
      </c>
      <c r="AM60" s="106">
        <f t="shared" si="41"/>
        <v>0</v>
      </c>
      <c r="AN60" s="107">
        <f t="shared" si="28"/>
        <v>0.114833333333333</v>
      </c>
      <c r="AO60" s="105">
        <f t="shared" si="42"/>
        <v>0.0314000755857899</v>
      </c>
      <c r="AP60" s="106">
        <f t="shared" si="16"/>
        <v>0.1512</v>
      </c>
      <c r="AQ60" s="107">
        <f t="shared" si="29"/>
        <v>0.0132</v>
      </c>
      <c r="AR60" s="105">
        <f t="shared" si="30"/>
        <v>0.230348666228105</v>
      </c>
      <c r="AS60" s="106">
        <f t="shared" si="31"/>
        <v>7.06666666666667</v>
      </c>
      <c r="AT60" s="107">
        <f t="shared" si="32"/>
        <v>96.8432481539445</v>
      </c>
    </row>
    <row r="61" spans="17:46">
      <c r="Q61">
        <v>54</v>
      </c>
      <c r="R61" s="105">
        <f t="shared" si="0"/>
        <v>20</v>
      </c>
      <c r="S61" s="106">
        <f t="shared" si="34"/>
        <v>0.36</v>
      </c>
      <c r="T61" s="106">
        <f t="shared" si="2"/>
        <v>4</v>
      </c>
      <c r="U61" s="107">
        <f t="shared" si="35"/>
        <v>1.8</v>
      </c>
      <c r="V61" s="105">
        <f t="shared" si="36"/>
        <v>2</v>
      </c>
      <c r="W61" s="106">
        <f t="shared" si="37"/>
        <v>0.833333333333333</v>
      </c>
      <c r="X61" s="107">
        <f t="shared" si="38"/>
        <v>0.166666666666667</v>
      </c>
      <c r="Y61" s="105">
        <f t="shared" si="18"/>
        <v>0.476190476190476</v>
      </c>
      <c r="Z61" s="106">
        <f t="shared" si="33"/>
        <v>2.63619047619048</v>
      </c>
      <c r="AA61" s="106">
        <f t="shared" si="19"/>
        <v>1.80524138205058</v>
      </c>
      <c r="AB61" s="106">
        <v>0</v>
      </c>
      <c r="AC61" s="106">
        <f t="shared" si="20"/>
        <v>0.0325889644746788</v>
      </c>
      <c r="AD61" s="107">
        <f t="shared" si="21"/>
        <v>0.0325889644746788</v>
      </c>
      <c r="AE61" s="105">
        <f t="shared" si="22"/>
        <v>0.54</v>
      </c>
      <c r="AF61" s="106">
        <f t="shared" si="23"/>
        <v>1.80524138205058</v>
      </c>
      <c r="AG61" s="106">
        <f t="shared" si="39"/>
        <v>0.0211828269085412</v>
      </c>
      <c r="AH61" s="106">
        <f t="shared" si="40"/>
        <v>-0.102594693554269</v>
      </c>
      <c r="AI61" s="107">
        <f t="shared" si="24"/>
        <v>-0.0814118666457273</v>
      </c>
      <c r="AJ61" s="105">
        <f t="shared" si="25"/>
        <v>0.36</v>
      </c>
      <c r="AK61" s="106">
        <f t="shared" si="26"/>
        <v>0.980625414250427</v>
      </c>
      <c r="AL61" s="106">
        <f t="shared" si="27"/>
        <v>0.117</v>
      </c>
      <c r="AM61" s="106">
        <f t="shared" si="41"/>
        <v>0</v>
      </c>
      <c r="AN61" s="107">
        <f t="shared" si="28"/>
        <v>0.117</v>
      </c>
      <c r="AO61" s="105">
        <f t="shared" si="42"/>
        <v>0.0325889644746788</v>
      </c>
      <c r="AP61" s="106">
        <f t="shared" si="16"/>
        <v>0.1512</v>
      </c>
      <c r="AQ61" s="107">
        <f t="shared" si="29"/>
        <v>0.0132</v>
      </c>
      <c r="AR61" s="105">
        <f t="shared" si="30"/>
        <v>0.232577097828951</v>
      </c>
      <c r="AS61" s="106">
        <f t="shared" si="31"/>
        <v>7.2</v>
      </c>
      <c r="AT61" s="107">
        <f t="shared" si="32"/>
        <v>96.8708417717337</v>
      </c>
    </row>
    <row r="62" spans="17:46">
      <c r="Q62">
        <v>55</v>
      </c>
      <c r="R62" s="105">
        <f t="shared" si="0"/>
        <v>20</v>
      </c>
      <c r="S62" s="106">
        <f t="shared" si="34"/>
        <v>0.366666666666667</v>
      </c>
      <c r="T62" s="106">
        <f t="shared" si="2"/>
        <v>4</v>
      </c>
      <c r="U62" s="107">
        <f t="shared" si="35"/>
        <v>1.83333333333333</v>
      </c>
      <c r="V62" s="105">
        <f t="shared" si="36"/>
        <v>2</v>
      </c>
      <c r="W62" s="106">
        <f t="shared" si="37"/>
        <v>0.833333333333333</v>
      </c>
      <c r="X62" s="107">
        <f t="shared" si="38"/>
        <v>0.166666666666667</v>
      </c>
      <c r="Y62" s="105">
        <f t="shared" si="18"/>
        <v>0.476190476190476</v>
      </c>
      <c r="Z62" s="106">
        <f t="shared" si="33"/>
        <v>2.67619047619048</v>
      </c>
      <c r="AA62" s="106">
        <f t="shared" si="19"/>
        <v>1.83847968674636</v>
      </c>
      <c r="AB62" s="106">
        <v>0</v>
      </c>
      <c r="AC62" s="106">
        <f t="shared" si="20"/>
        <v>0.0338000755857899</v>
      </c>
      <c r="AD62" s="107">
        <f t="shared" si="21"/>
        <v>0.0338000755857899</v>
      </c>
      <c r="AE62" s="105">
        <f t="shared" si="22"/>
        <v>0.560185185185185</v>
      </c>
      <c r="AF62" s="106">
        <f t="shared" si="23"/>
        <v>1.83847968674636</v>
      </c>
      <c r="AG62" s="106">
        <f t="shared" si="39"/>
        <v>0.0219700491307634</v>
      </c>
      <c r="AH62" s="106">
        <f t="shared" si="40"/>
        <v>-0.104494595286755</v>
      </c>
      <c r="AI62" s="107">
        <f t="shared" si="24"/>
        <v>-0.0825245461559915</v>
      </c>
      <c r="AJ62" s="105">
        <f t="shared" si="25"/>
        <v>0.366666666666667</v>
      </c>
      <c r="AK62" s="106">
        <f t="shared" si="26"/>
        <v>0.996929021001542</v>
      </c>
      <c r="AL62" s="106">
        <f t="shared" si="27"/>
        <v>0.119166666666667</v>
      </c>
      <c r="AM62" s="106">
        <f t="shared" si="41"/>
        <v>0</v>
      </c>
      <c r="AN62" s="107">
        <f t="shared" si="28"/>
        <v>0.119166666666667</v>
      </c>
      <c r="AO62" s="105">
        <f t="shared" si="42"/>
        <v>0.0338000755857899</v>
      </c>
      <c r="AP62" s="106">
        <f t="shared" si="16"/>
        <v>0.1512</v>
      </c>
      <c r="AQ62" s="107">
        <f t="shared" si="29"/>
        <v>0.0132</v>
      </c>
      <c r="AR62" s="105">
        <f t="shared" si="30"/>
        <v>0.234842196096465</v>
      </c>
      <c r="AS62" s="106">
        <f t="shared" si="31"/>
        <v>7.33333333333333</v>
      </c>
      <c r="AT62" s="107">
        <f t="shared" si="32"/>
        <v>96.8969774130733</v>
      </c>
    </row>
    <row r="63" spans="17:46">
      <c r="Q63">
        <v>56</v>
      </c>
      <c r="R63" s="105">
        <f t="shared" si="0"/>
        <v>20</v>
      </c>
      <c r="S63" s="106">
        <f t="shared" si="34"/>
        <v>0.373333333333333</v>
      </c>
      <c r="T63" s="106">
        <f t="shared" si="2"/>
        <v>4</v>
      </c>
      <c r="U63" s="107">
        <f t="shared" si="35"/>
        <v>1.86666666666667</v>
      </c>
      <c r="V63" s="105">
        <f t="shared" si="36"/>
        <v>2</v>
      </c>
      <c r="W63" s="106">
        <f t="shared" si="37"/>
        <v>0.833333333333333</v>
      </c>
      <c r="X63" s="107">
        <f t="shared" si="38"/>
        <v>0.166666666666667</v>
      </c>
      <c r="Y63" s="105">
        <f t="shared" si="18"/>
        <v>0.476190476190476</v>
      </c>
      <c r="Z63" s="106">
        <f t="shared" si="33"/>
        <v>2.71619047619048</v>
      </c>
      <c r="AA63" s="106">
        <f t="shared" si="19"/>
        <v>1.87172137133504</v>
      </c>
      <c r="AB63" s="106">
        <v>0</v>
      </c>
      <c r="AC63" s="106">
        <f t="shared" si="20"/>
        <v>0.0350334089191232</v>
      </c>
      <c r="AD63" s="107">
        <f t="shared" si="21"/>
        <v>0.0350334089191232</v>
      </c>
      <c r="AE63" s="105">
        <f t="shared" si="22"/>
        <v>0.580740740740741</v>
      </c>
      <c r="AF63" s="106">
        <f t="shared" si="23"/>
        <v>1.87172137133504</v>
      </c>
      <c r="AG63" s="106">
        <f t="shared" si="39"/>
        <v>0.0227717157974301</v>
      </c>
      <c r="AH63" s="106">
        <f t="shared" si="40"/>
        <v>-0.106394497019241</v>
      </c>
      <c r="AI63" s="107">
        <f t="shared" si="24"/>
        <v>-0.0836227812218113</v>
      </c>
      <c r="AJ63" s="105">
        <f t="shared" si="25"/>
        <v>0.373333333333333</v>
      </c>
      <c r="AK63" s="106">
        <f t="shared" si="26"/>
        <v>1.01323347560653</v>
      </c>
      <c r="AL63" s="106">
        <f t="shared" si="27"/>
        <v>0.121333333333333</v>
      </c>
      <c r="AM63" s="106">
        <f t="shared" si="41"/>
        <v>0</v>
      </c>
      <c r="AN63" s="107">
        <f t="shared" si="28"/>
        <v>0.121333333333333</v>
      </c>
      <c r="AO63" s="105">
        <f t="shared" si="42"/>
        <v>0.0350334089191232</v>
      </c>
      <c r="AP63" s="106">
        <f t="shared" si="16"/>
        <v>0.1512</v>
      </c>
      <c r="AQ63" s="107">
        <f t="shared" si="29"/>
        <v>0.0132</v>
      </c>
      <c r="AR63" s="105">
        <f t="shared" si="30"/>
        <v>0.237143961030645</v>
      </c>
      <c r="AS63" s="106">
        <f t="shared" si="31"/>
        <v>7.46666666666667</v>
      </c>
      <c r="AT63" s="107">
        <f t="shared" si="32"/>
        <v>96.9217316923907</v>
      </c>
    </row>
    <row r="64" spans="17:46">
      <c r="Q64">
        <v>57</v>
      </c>
      <c r="R64" s="105">
        <f t="shared" si="0"/>
        <v>20</v>
      </c>
      <c r="S64" s="106">
        <f t="shared" si="34"/>
        <v>0.38</v>
      </c>
      <c r="T64" s="106">
        <f t="shared" si="2"/>
        <v>4</v>
      </c>
      <c r="U64" s="107">
        <f t="shared" si="35"/>
        <v>1.9</v>
      </c>
      <c r="V64" s="105">
        <f t="shared" si="36"/>
        <v>2</v>
      </c>
      <c r="W64" s="106">
        <f t="shared" si="37"/>
        <v>0.833333333333333</v>
      </c>
      <c r="X64" s="107">
        <f t="shared" si="38"/>
        <v>0.166666666666667</v>
      </c>
      <c r="Y64" s="105">
        <f t="shared" si="18"/>
        <v>0.476190476190476</v>
      </c>
      <c r="Z64" s="106">
        <f t="shared" si="33"/>
        <v>2.75619047619048</v>
      </c>
      <c r="AA64" s="106">
        <f t="shared" si="19"/>
        <v>1.90496625887911</v>
      </c>
      <c r="AB64" s="106">
        <v>0</v>
      </c>
      <c r="AC64" s="106">
        <f t="shared" si="20"/>
        <v>0.0362889644746788</v>
      </c>
      <c r="AD64" s="107">
        <f t="shared" si="21"/>
        <v>0.0362889644746788</v>
      </c>
      <c r="AE64" s="105">
        <f t="shared" si="22"/>
        <v>0.601666666666667</v>
      </c>
      <c r="AF64" s="106">
        <f t="shared" si="23"/>
        <v>1.90496625887911</v>
      </c>
      <c r="AG64" s="106">
        <f t="shared" si="39"/>
        <v>0.0235878269085412</v>
      </c>
      <c r="AH64" s="106">
        <f t="shared" si="40"/>
        <v>-0.108294398751728</v>
      </c>
      <c r="AI64" s="107">
        <f t="shared" si="24"/>
        <v>-0.0847065718431867</v>
      </c>
      <c r="AJ64" s="105">
        <f t="shared" si="25"/>
        <v>0.38</v>
      </c>
      <c r="AK64" s="106">
        <f t="shared" si="26"/>
        <v>1.02953873778388</v>
      </c>
      <c r="AL64" s="106">
        <f t="shared" si="27"/>
        <v>0.1235</v>
      </c>
      <c r="AM64" s="106">
        <f t="shared" si="41"/>
        <v>0</v>
      </c>
      <c r="AN64" s="107">
        <f t="shared" si="28"/>
        <v>0.1235</v>
      </c>
      <c r="AO64" s="105">
        <f t="shared" si="42"/>
        <v>0.0362889644746788</v>
      </c>
      <c r="AP64" s="106">
        <f t="shared" si="16"/>
        <v>0.1512</v>
      </c>
      <c r="AQ64" s="107">
        <f t="shared" si="29"/>
        <v>0.0132</v>
      </c>
      <c r="AR64" s="105">
        <f t="shared" si="30"/>
        <v>0.239482392631492</v>
      </c>
      <c r="AS64" s="106">
        <f t="shared" si="31"/>
        <v>7.6</v>
      </c>
      <c r="AT64" s="107">
        <f t="shared" si="32"/>
        <v>96.9451759614055</v>
      </c>
    </row>
    <row r="65" spans="17:46">
      <c r="Q65">
        <v>58</v>
      </c>
      <c r="R65" s="105">
        <f t="shared" si="0"/>
        <v>20</v>
      </c>
      <c r="S65" s="106">
        <f t="shared" si="34"/>
        <v>0.386666666666667</v>
      </c>
      <c r="T65" s="106">
        <f t="shared" si="2"/>
        <v>4</v>
      </c>
      <c r="U65" s="107">
        <f t="shared" si="35"/>
        <v>1.93333333333333</v>
      </c>
      <c r="V65" s="105">
        <f t="shared" si="36"/>
        <v>2</v>
      </c>
      <c r="W65" s="106">
        <f t="shared" si="37"/>
        <v>0.833333333333333</v>
      </c>
      <c r="X65" s="107">
        <f t="shared" si="38"/>
        <v>0.166666666666667</v>
      </c>
      <c r="Y65" s="105">
        <f t="shared" si="18"/>
        <v>0.476190476190476</v>
      </c>
      <c r="Z65" s="106">
        <f t="shared" si="33"/>
        <v>2.79619047619048</v>
      </c>
      <c r="AA65" s="106">
        <f t="shared" si="19"/>
        <v>1.93821418456415</v>
      </c>
      <c r="AB65" s="106">
        <v>0</v>
      </c>
      <c r="AC65" s="106">
        <f t="shared" si="20"/>
        <v>0.0375667422524565</v>
      </c>
      <c r="AD65" s="107">
        <f t="shared" si="21"/>
        <v>0.0375667422524565</v>
      </c>
      <c r="AE65" s="105">
        <f t="shared" si="22"/>
        <v>0.622962962962963</v>
      </c>
      <c r="AF65" s="106">
        <f t="shared" si="23"/>
        <v>1.93821418456415</v>
      </c>
      <c r="AG65" s="106">
        <f t="shared" si="39"/>
        <v>0.0244183824640968</v>
      </c>
      <c r="AH65" s="106">
        <f t="shared" si="40"/>
        <v>-0.110194300484214</v>
      </c>
      <c r="AI65" s="107">
        <f t="shared" si="24"/>
        <v>-0.0857759180201176</v>
      </c>
      <c r="AJ65" s="105">
        <f t="shared" si="25"/>
        <v>0.386666666666667</v>
      </c>
      <c r="AK65" s="106">
        <f t="shared" si="26"/>
        <v>1.04584476976218</v>
      </c>
      <c r="AL65" s="106">
        <f t="shared" si="27"/>
        <v>0.125666666666667</v>
      </c>
      <c r="AM65" s="106">
        <f t="shared" si="41"/>
        <v>0</v>
      </c>
      <c r="AN65" s="107">
        <f t="shared" si="28"/>
        <v>0.125666666666667</v>
      </c>
      <c r="AO65" s="105">
        <f t="shared" si="42"/>
        <v>0.0375667422524565</v>
      </c>
      <c r="AP65" s="106">
        <f t="shared" si="16"/>
        <v>0.1512</v>
      </c>
      <c r="AQ65" s="107">
        <f t="shared" si="29"/>
        <v>0.0132</v>
      </c>
      <c r="AR65" s="105">
        <f t="shared" si="30"/>
        <v>0.241857490899006</v>
      </c>
      <c r="AS65" s="106">
        <f t="shared" si="31"/>
        <v>7.73333333333333</v>
      </c>
      <c r="AT65" s="107">
        <f t="shared" si="32"/>
        <v>96.9673767533671</v>
      </c>
    </row>
    <row r="66" spans="17:46">
      <c r="Q66">
        <v>59</v>
      </c>
      <c r="R66" s="105">
        <f t="shared" si="0"/>
        <v>20</v>
      </c>
      <c r="S66" s="106">
        <f t="shared" si="34"/>
        <v>0.393333333333333</v>
      </c>
      <c r="T66" s="106">
        <f t="shared" si="2"/>
        <v>4</v>
      </c>
      <c r="U66" s="107">
        <f t="shared" si="35"/>
        <v>1.96666666666667</v>
      </c>
      <c r="V66" s="105">
        <f t="shared" si="36"/>
        <v>2</v>
      </c>
      <c r="W66" s="106">
        <f t="shared" si="37"/>
        <v>0.833333333333333</v>
      </c>
      <c r="X66" s="107">
        <f t="shared" si="38"/>
        <v>0.166666666666667</v>
      </c>
      <c r="Y66" s="105">
        <f t="shared" si="18"/>
        <v>0.476190476190476</v>
      </c>
      <c r="Z66" s="106">
        <f t="shared" si="33"/>
        <v>2.83619047619048</v>
      </c>
      <c r="AA66" s="106">
        <f t="shared" si="19"/>
        <v>1.97146499467925</v>
      </c>
      <c r="AB66" s="106">
        <v>0</v>
      </c>
      <c r="AC66" s="106">
        <f t="shared" si="20"/>
        <v>0.0388667422524565</v>
      </c>
      <c r="AD66" s="107">
        <f t="shared" si="21"/>
        <v>0.0388667422524565</v>
      </c>
      <c r="AE66" s="105">
        <f t="shared" si="22"/>
        <v>0.64462962962963</v>
      </c>
      <c r="AF66" s="106">
        <f t="shared" si="23"/>
        <v>1.97146499467925</v>
      </c>
      <c r="AG66" s="106">
        <f t="shared" si="39"/>
        <v>0.0252633824640968</v>
      </c>
      <c r="AH66" s="106">
        <f t="shared" si="40"/>
        <v>-0.112094202216701</v>
      </c>
      <c r="AI66" s="107">
        <f t="shared" si="24"/>
        <v>-0.0868308197526041</v>
      </c>
      <c r="AJ66" s="105">
        <f t="shared" si="25"/>
        <v>0.393333333333333</v>
      </c>
      <c r="AK66" s="106">
        <f t="shared" si="26"/>
        <v>1.06215153608772</v>
      </c>
      <c r="AL66" s="106">
        <f t="shared" si="27"/>
        <v>0.127833333333333</v>
      </c>
      <c r="AM66" s="106">
        <f t="shared" si="41"/>
        <v>0</v>
      </c>
      <c r="AN66" s="107">
        <f t="shared" si="28"/>
        <v>0.127833333333333</v>
      </c>
      <c r="AO66" s="105">
        <f t="shared" si="42"/>
        <v>0.0388667422524565</v>
      </c>
      <c r="AP66" s="106">
        <f t="shared" si="16"/>
        <v>0.1512</v>
      </c>
      <c r="AQ66" s="107">
        <f t="shared" si="29"/>
        <v>0.0132</v>
      </c>
      <c r="AR66" s="105">
        <f t="shared" si="30"/>
        <v>0.244269255833186</v>
      </c>
      <c r="AS66" s="106">
        <f t="shared" si="31"/>
        <v>7.86666666666667</v>
      </c>
      <c r="AT66" s="107">
        <f t="shared" si="32"/>
        <v>96.98839618304</v>
      </c>
    </row>
    <row r="67" spans="17:46">
      <c r="Q67">
        <v>60</v>
      </c>
      <c r="R67" s="105">
        <f t="shared" si="0"/>
        <v>20</v>
      </c>
      <c r="S67" s="106">
        <f t="shared" si="34"/>
        <v>0.4</v>
      </c>
      <c r="T67" s="106">
        <f t="shared" si="2"/>
        <v>4</v>
      </c>
      <c r="U67" s="107">
        <f t="shared" si="35"/>
        <v>2</v>
      </c>
      <c r="V67" s="105">
        <f t="shared" si="36"/>
        <v>2</v>
      </c>
      <c r="W67" s="106">
        <f t="shared" si="37"/>
        <v>0.833333333333333</v>
      </c>
      <c r="X67" s="107">
        <f t="shared" si="38"/>
        <v>0.166666666666667</v>
      </c>
      <c r="Y67" s="105">
        <f t="shared" si="18"/>
        <v>0.476190476190476</v>
      </c>
      <c r="Z67" s="106">
        <f t="shared" si="33"/>
        <v>2.87619047619048</v>
      </c>
      <c r="AA67" s="106">
        <f t="shared" si="19"/>
        <v>2.00471854569859</v>
      </c>
      <c r="AB67" s="106">
        <v>0</v>
      </c>
      <c r="AC67" s="106">
        <f t="shared" si="20"/>
        <v>0.0401889644746788</v>
      </c>
      <c r="AD67" s="107">
        <f t="shared" si="21"/>
        <v>0.0401889644746788</v>
      </c>
      <c r="AE67" s="105">
        <f t="shared" si="22"/>
        <v>0.666666666666667</v>
      </c>
      <c r="AF67" s="106">
        <f t="shared" si="23"/>
        <v>2.00471854569859</v>
      </c>
      <c r="AG67" s="106">
        <f t="shared" si="39"/>
        <v>0.0261228269085412</v>
      </c>
      <c r="AH67" s="106">
        <f t="shared" si="40"/>
        <v>-0.113994103949187</v>
      </c>
      <c r="AI67" s="107">
        <f t="shared" si="24"/>
        <v>-0.087871277040646</v>
      </c>
      <c r="AJ67" s="105">
        <f t="shared" si="25"/>
        <v>0.4</v>
      </c>
      <c r="AK67" s="106">
        <f t="shared" si="26"/>
        <v>1.07845900344957</v>
      </c>
      <c r="AL67" s="106">
        <f t="shared" si="27"/>
        <v>0.13</v>
      </c>
      <c r="AM67" s="106">
        <f t="shared" si="41"/>
        <v>0</v>
      </c>
      <c r="AN67" s="107">
        <f t="shared" si="28"/>
        <v>0.13</v>
      </c>
      <c r="AO67" s="105">
        <f t="shared" si="42"/>
        <v>0.0401889644746788</v>
      </c>
      <c r="AP67" s="106">
        <f t="shared" si="16"/>
        <v>0.1512</v>
      </c>
      <c r="AQ67" s="107">
        <f t="shared" si="29"/>
        <v>0.0132</v>
      </c>
      <c r="AR67" s="105">
        <f t="shared" si="30"/>
        <v>0.246717687434033</v>
      </c>
      <c r="AS67" s="106">
        <f t="shared" si="31"/>
        <v>8</v>
      </c>
      <c r="AT67" s="107">
        <f t="shared" si="32"/>
        <v>97.0082923074962</v>
      </c>
    </row>
    <row r="68" spans="17:46">
      <c r="Q68">
        <v>61</v>
      </c>
      <c r="R68" s="105">
        <f t="shared" si="0"/>
        <v>20</v>
      </c>
      <c r="S68" s="106">
        <f t="shared" si="34"/>
        <v>0.406666666666667</v>
      </c>
      <c r="T68" s="106">
        <f t="shared" si="2"/>
        <v>4</v>
      </c>
      <c r="U68" s="107">
        <f t="shared" si="35"/>
        <v>2.03333333333333</v>
      </c>
      <c r="V68" s="105">
        <f t="shared" si="36"/>
        <v>2</v>
      </c>
      <c r="W68" s="106">
        <f t="shared" si="37"/>
        <v>0.833333333333333</v>
      </c>
      <c r="X68" s="107">
        <f t="shared" si="38"/>
        <v>0.166666666666667</v>
      </c>
      <c r="Y68" s="105">
        <f t="shared" si="18"/>
        <v>0.476190476190476</v>
      </c>
      <c r="Z68" s="106">
        <f t="shared" si="33"/>
        <v>2.91619047619048</v>
      </c>
      <c r="AA68" s="106">
        <f t="shared" si="19"/>
        <v>2.0379747034525</v>
      </c>
      <c r="AB68" s="106">
        <v>0</v>
      </c>
      <c r="AC68" s="106">
        <f t="shared" si="20"/>
        <v>0.0415334089191232</v>
      </c>
      <c r="AD68" s="107">
        <f t="shared" si="21"/>
        <v>0.0415334089191232</v>
      </c>
      <c r="AE68" s="105">
        <f t="shared" si="22"/>
        <v>0.689074074074074</v>
      </c>
      <c r="AF68" s="106">
        <f t="shared" si="23"/>
        <v>2.0379747034525</v>
      </c>
      <c r="AG68" s="106">
        <f t="shared" si="39"/>
        <v>0.0269967157974301</v>
      </c>
      <c r="AH68" s="106">
        <f t="shared" si="40"/>
        <v>-0.115894005681674</v>
      </c>
      <c r="AI68" s="107">
        <f t="shared" si="24"/>
        <v>-0.0888972898842436</v>
      </c>
      <c r="AJ68" s="105">
        <f t="shared" si="25"/>
        <v>0.406666666666667</v>
      </c>
      <c r="AK68" s="106">
        <f t="shared" si="26"/>
        <v>1.09476714052017</v>
      </c>
      <c r="AL68" s="106">
        <f t="shared" si="27"/>
        <v>0.132166666666667</v>
      </c>
      <c r="AM68" s="106">
        <f t="shared" si="41"/>
        <v>0</v>
      </c>
      <c r="AN68" s="107">
        <f t="shared" si="28"/>
        <v>0.132166666666667</v>
      </c>
      <c r="AO68" s="105">
        <f t="shared" si="42"/>
        <v>0.0415334089191232</v>
      </c>
      <c r="AP68" s="106">
        <f t="shared" si="16"/>
        <v>0.1512</v>
      </c>
      <c r="AQ68" s="107">
        <f t="shared" si="29"/>
        <v>0.0132</v>
      </c>
      <c r="AR68" s="105">
        <f t="shared" si="30"/>
        <v>0.249202785701546</v>
      </c>
      <c r="AS68" s="106">
        <f t="shared" si="31"/>
        <v>8.13333333333333</v>
      </c>
      <c r="AT68" s="107">
        <f t="shared" si="32"/>
        <v>97.0271194521231</v>
      </c>
    </row>
    <row r="69" spans="17:46">
      <c r="Q69">
        <v>62</v>
      </c>
      <c r="R69" s="105">
        <f t="shared" si="0"/>
        <v>20</v>
      </c>
      <c r="S69" s="106">
        <f t="shared" si="34"/>
        <v>0.413333333333333</v>
      </c>
      <c r="T69" s="106">
        <f t="shared" si="2"/>
        <v>4</v>
      </c>
      <c r="U69" s="107">
        <f t="shared" si="35"/>
        <v>2.06666666666667</v>
      </c>
      <c r="V69" s="105">
        <f t="shared" si="36"/>
        <v>2</v>
      </c>
      <c r="W69" s="106">
        <f t="shared" si="37"/>
        <v>0.833333333333333</v>
      </c>
      <c r="X69" s="107">
        <f t="shared" si="38"/>
        <v>0.166666666666667</v>
      </c>
      <c r="Y69" s="105">
        <f t="shared" si="18"/>
        <v>0.476190476190476</v>
      </c>
      <c r="Z69" s="106">
        <f t="shared" si="33"/>
        <v>2.95619047619048</v>
      </c>
      <c r="AA69" s="106">
        <f t="shared" si="19"/>
        <v>2.07123334237816</v>
      </c>
      <c r="AB69" s="106">
        <v>0</v>
      </c>
      <c r="AC69" s="106">
        <f t="shared" si="20"/>
        <v>0.0429000755857899</v>
      </c>
      <c r="AD69" s="107">
        <f t="shared" si="21"/>
        <v>0.0429000755857899</v>
      </c>
      <c r="AE69" s="105">
        <f t="shared" si="22"/>
        <v>0.711851851851852</v>
      </c>
      <c r="AF69" s="106">
        <f t="shared" si="23"/>
        <v>2.07123334237816</v>
      </c>
      <c r="AG69" s="106">
        <f t="shared" si="39"/>
        <v>0.0278850491307634</v>
      </c>
      <c r="AH69" s="106">
        <f t="shared" si="40"/>
        <v>-0.11779390741416</v>
      </c>
      <c r="AI69" s="107">
        <f t="shared" si="24"/>
        <v>-0.0899088582833967</v>
      </c>
      <c r="AJ69" s="105">
        <f t="shared" si="25"/>
        <v>0.413333333333333</v>
      </c>
      <c r="AK69" s="106">
        <f t="shared" si="26"/>
        <v>1.11107591780999</v>
      </c>
      <c r="AL69" s="106">
        <f t="shared" si="27"/>
        <v>0.134333333333333</v>
      </c>
      <c r="AM69" s="106">
        <f t="shared" si="41"/>
        <v>0</v>
      </c>
      <c r="AN69" s="107">
        <f t="shared" si="28"/>
        <v>0.134333333333333</v>
      </c>
      <c r="AO69" s="105">
        <f t="shared" si="42"/>
        <v>0.0429000755857899</v>
      </c>
      <c r="AP69" s="106">
        <f t="shared" si="16"/>
        <v>0.1512</v>
      </c>
      <c r="AQ69" s="107">
        <f t="shared" si="29"/>
        <v>0.0132</v>
      </c>
      <c r="AR69" s="105">
        <f t="shared" si="30"/>
        <v>0.251724550635727</v>
      </c>
      <c r="AS69" s="106">
        <f t="shared" si="31"/>
        <v>8.26666666666667</v>
      </c>
      <c r="AT69" s="107">
        <f t="shared" si="32"/>
        <v>97.0449285056968</v>
      </c>
    </row>
    <row r="70" spans="17:46">
      <c r="Q70">
        <v>63</v>
      </c>
      <c r="R70" s="105">
        <f t="shared" si="0"/>
        <v>20</v>
      </c>
      <c r="S70" s="106">
        <f t="shared" si="34"/>
        <v>0.42</v>
      </c>
      <c r="T70" s="106">
        <f t="shared" si="2"/>
        <v>4</v>
      </c>
      <c r="U70" s="107">
        <f t="shared" si="35"/>
        <v>2.1</v>
      </c>
      <c r="V70" s="105">
        <f t="shared" si="36"/>
        <v>2</v>
      </c>
      <c r="W70" s="106">
        <f t="shared" si="37"/>
        <v>0.833333333333333</v>
      </c>
      <c r="X70" s="107">
        <f t="shared" si="38"/>
        <v>0.166666666666667</v>
      </c>
      <c r="Y70" s="105">
        <f t="shared" si="18"/>
        <v>0.476190476190476</v>
      </c>
      <c r="Z70" s="106">
        <f t="shared" si="33"/>
        <v>2.99619047619048</v>
      </c>
      <c r="AA70" s="106">
        <f t="shared" si="19"/>
        <v>2.10449434484103</v>
      </c>
      <c r="AB70" s="106">
        <v>0</v>
      </c>
      <c r="AC70" s="106">
        <f t="shared" si="20"/>
        <v>0.0442889644746788</v>
      </c>
      <c r="AD70" s="107">
        <f t="shared" si="21"/>
        <v>0.0442889644746788</v>
      </c>
      <c r="AE70" s="105">
        <f t="shared" si="22"/>
        <v>0.735</v>
      </c>
      <c r="AF70" s="106">
        <f t="shared" si="23"/>
        <v>2.10449434484103</v>
      </c>
      <c r="AG70" s="106">
        <f t="shared" si="39"/>
        <v>0.0287878269085412</v>
      </c>
      <c r="AH70" s="106">
        <f t="shared" si="40"/>
        <v>-0.119693809146647</v>
      </c>
      <c r="AI70" s="107">
        <f t="shared" si="24"/>
        <v>-0.0909059822381054</v>
      </c>
      <c r="AJ70" s="105">
        <f t="shared" si="25"/>
        <v>0.42</v>
      </c>
      <c r="AK70" s="106">
        <f t="shared" si="26"/>
        <v>1.12738530753476</v>
      </c>
      <c r="AL70" s="106">
        <f t="shared" si="27"/>
        <v>0.1365</v>
      </c>
      <c r="AM70" s="106">
        <f t="shared" si="41"/>
        <v>0</v>
      </c>
      <c r="AN70" s="107">
        <f t="shared" si="28"/>
        <v>0.1365</v>
      </c>
      <c r="AO70" s="105">
        <f t="shared" si="42"/>
        <v>0.0442889644746788</v>
      </c>
      <c r="AP70" s="106">
        <f t="shared" si="16"/>
        <v>0.1512</v>
      </c>
      <c r="AQ70" s="107">
        <f t="shared" si="29"/>
        <v>0.0132</v>
      </c>
      <c r="AR70" s="105">
        <f t="shared" si="30"/>
        <v>0.254282982236573</v>
      </c>
      <c r="AS70" s="106">
        <f t="shared" si="31"/>
        <v>8.4</v>
      </c>
      <c r="AT70" s="107">
        <f t="shared" si="32"/>
        <v>97.0617671878941</v>
      </c>
    </row>
    <row r="71" spans="17:46">
      <c r="Q71">
        <v>64</v>
      </c>
      <c r="R71" s="105">
        <f t="shared" ref="R71:R134" si="43">VOUT</f>
        <v>20</v>
      </c>
      <c r="S71" s="106">
        <f t="shared" ref="S71:S102" si="44">Q71*$O$12</f>
        <v>0.426666666666667</v>
      </c>
      <c r="T71" s="106">
        <f t="shared" ref="T71:T134" si="45">VIN_var</f>
        <v>4</v>
      </c>
      <c r="U71" s="107">
        <f t="shared" ref="U71:U102" si="46">(R71*S71)/(T71*EFF_est)</f>
        <v>2.13333333333333</v>
      </c>
      <c r="V71" s="105">
        <f t="shared" ref="V71:V102" si="47">IF(S71&lt;((T71^2)*R71)/(2*Fsw*Lm*((T71+R71)^2)),1,2)</f>
        <v>2</v>
      </c>
      <c r="W71" s="106">
        <f t="shared" ref="W71:W102" si="48">CHOOSE(V71,SQRT(2*Lm*R71*S71*Fsw)/T71,R71/(T71+R71))</f>
        <v>0.833333333333333</v>
      </c>
      <c r="X71" s="107">
        <f t="shared" ref="X71:X102" si="49">CHOOSE(V71,(Lm*Z71*Fsw)/(R71),1-W71)</f>
        <v>0.166666666666667</v>
      </c>
      <c r="Y71" s="105">
        <f t="shared" si="18"/>
        <v>0.476190476190476</v>
      </c>
      <c r="Z71" s="106">
        <f t="shared" si="33"/>
        <v>3.03619047619048</v>
      </c>
      <c r="AA71" s="106">
        <f t="shared" si="19"/>
        <v>2.13775760051952</v>
      </c>
      <c r="AB71" s="106">
        <v>0</v>
      </c>
      <c r="AC71" s="106">
        <f t="shared" si="20"/>
        <v>0.0457000755857899</v>
      </c>
      <c r="AD71" s="107">
        <f t="shared" si="21"/>
        <v>0.0457000755857899</v>
      </c>
      <c r="AE71" s="105">
        <f t="shared" si="22"/>
        <v>0.758518518518519</v>
      </c>
      <c r="AF71" s="106">
        <f t="shared" si="23"/>
        <v>2.13775760051952</v>
      </c>
      <c r="AG71" s="106">
        <f t="shared" ref="AG71:AG102" si="50">(AF71^2)*RDS_on</f>
        <v>0.0297050491307634</v>
      </c>
      <c r="AH71" s="106">
        <f t="shared" ref="AH71:AH102" si="51">(((R71+T71)*(U71+S71))/2)*Fsw*(tr_sw+tf_sw)</f>
        <v>-0.121593710879133</v>
      </c>
      <c r="AI71" s="107">
        <f t="shared" si="24"/>
        <v>-0.0918886617483696</v>
      </c>
      <c r="AJ71" s="105">
        <f t="shared" si="25"/>
        <v>0.426666666666667</v>
      </c>
      <c r="AK71" s="106">
        <f t="shared" si="26"/>
        <v>1.14369528349404</v>
      </c>
      <c r="AL71" s="106">
        <f t="shared" si="27"/>
        <v>0.138666666666667</v>
      </c>
      <c r="AM71" s="106">
        <f t="shared" ref="AM71:AM102" si="52">(R71+T71+Vd_rect)*Qrr*Fsw</f>
        <v>0</v>
      </c>
      <c r="AN71" s="107">
        <f t="shared" si="28"/>
        <v>0.138666666666667</v>
      </c>
      <c r="AO71" s="105">
        <f t="shared" ref="AO71:AO102" si="53">(AF71^2)*R_cs</f>
        <v>0.0457000755857899</v>
      </c>
      <c r="AP71" s="106">
        <f t="shared" ref="AP71:AP134" si="54">Qg_tot*Vcc*Fsw</f>
        <v>0.1512</v>
      </c>
      <c r="AQ71" s="107">
        <f t="shared" si="29"/>
        <v>0.0132</v>
      </c>
      <c r="AR71" s="105">
        <f t="shared" si="30"/>
        <v>0.256878080504087</v>
      </c>
      <c r="AS71" s="106">
        <f t="shared" si="31"/>
        <v>8.53333333333333</v>
      </c>
      <c r="AT71" s="107">
        <f t="shared" si="32"/>
        <v>97.0776802921974</v>
      </c>
    </row>
    <row r="72" spans="17:46">
      <c r="Q72">
        <v>65</v>
      </c>
      <c r="R72" s="105">
        <f t="shared" si="43"/>
        <v>20</v>
      </c>
      <c r="S72" s="106">
        <f t="shared" si="44"/>
        <v>0.433333333333333</v>
      </c>
      <c r="T72" s="106">
        <f t="shared" si="45"/>
        <v>4</v>
      </c>
      <c r="U72" s="107">
        <f t="shared" si="46"/>
        <v>2.16666666666667</v>
      </c>
      <c r="V72" s="105">
        <f t="shared" si="47"/>
        <v>2</v>
      </c>
      <c r="W72" s="106">
        <f t="shared" si="48"/>
        <v>0.833333333333333</v>
      </c>
      <c r="X72" s="107">
        <f t="shared" si="49"/>
        <v>0.166666666666667</v>
      </c>
      <c r="Y72" s="105">
        <f t="shared" ref="Y72:Y135" si="55">(T72*W72)/(Lm*Fsw)</f>
        <v>0.476190476190476</v>
      </c>
      <c r="Z72" s="106">
        <f t="shared" ref="Z72:Z135" si="56">CHOOSE(V72,Y72,U72+S72+(Y72))</f>
        <v>3.07619047619048</v>
      </c>
      <c r="AA72" s="106">
        <f t="shared" ref="AA72:AA135" si="57">CHOOSE(V72,Z72*SQRT((W72+X72)/3),SQRT((U72^2)+((Y72^2)/12)))</f>
        <v>2.17102300584594</v>
      </c>
      <c r="AB72" s="106">
        <v>0</v>
      </c>
      <c r="AC72" s="106">
        <f t="shared" ref="AC72:AC135" si="58">(AA72^2)*Rdcr</f>
        <v>0.0471334089191232</v>
      </c>
      <c r="AD72" s="107">
        <f t="shared" ref="AD72:AD135" si="59">AB72+AC72</f>
        <v>0.0471334089191232</v>
      </c>
      <c r="AE72" s="105">
        <f t="shared" ref="AE72:AE135" si="60">U72*S72*W72</f>
        <v>0.782407407407408</v>
      </c>
      <c r="AF72" s="106">
        <f t="shared" ref="AF72:AF135" si="61">AA72</f>
        <v>2.17102300584594</v>
      </c>
      <c r="AG72" s="106">
        <f t="shared" si="50"/>
        <v>0.0306367157974301</v>
      </c>
      <c r="AH72" s="106">
        <f t="shared" si="51"/>
        <v>-0.12349361261162</v>
      </c>
      <c r="AI72" s="107">
        <f t="shared" ref="AI72:AI135" si="62">AG72+AH72</f>
        <v>-0.0928568968141894</v>
      </c>
      <c r="AJ72" s="105">
        <f t="shared" ref="AJ72:AJ135" si="63">S72</f>
        <v>0.433333333333333</v>
      </c>
      <c r="AK72" s="106">
        <f t="shared" ref="AK72:AK135" si="64">CHOOSE(V72,Z72*SQRT(X72/3),SQRT(X72*((Z72^2)+((Y72^2)/3)-(Y72*Z72))))</f>
        <v>1.16000582096002</v>
      </c>
      <c r="AL72" s="106">
        <f t="shared" ref="AL72:AL135" si="65">S72*Vd_rect</f>
        <v>0.140833333333333</v>
      </c>
      <c r="AM72" s="106">
        <f t="shared" si="52"/>
        <v>0</v>
      </c>
      <c r="AN72" s="107">
        <f t="shared" ref="AN72:AN135" si="66">AL72+AM72</f>
        <v>0.140833333333333</v>
      </c>
      <c r="AO72" s="105">
        <f t="shared" si="53"/>
        <v>0.0471334089191232</v>
      </c>
      <c r="AP72" s="106">
        <f t="shared" si="54"/>
        <v>0.1512</v>
      </c>
      <c r="AQ72" s="107">
        <f t="shared" ref="AQ72:AQ135" si="67">IQ*T72</f>
        <v>0.0132</v>
      </c>
      <c r="AR72" s="105">
        <f t="shared" ref="AR72:AR135" si="68">AO72+AN72+AI72+AP72+AQ72</f>
        <v>0.259509845438267</v>
      </c>
      <c r="AS72" s="106">
        <f t="shared" ref="AS72:AS135" si="69">R72*S72</f>
        <v>8.66666666666667</v>
      </c>
      <c r="AT72" s="107">
        <f t="shared" ref="AT72:AT135" si="70">(AS72/(AS72+AR72))*100</f>
        <v>97.0927099067967</v>
      </c>
    </row>
    <row r="73" spans="17:46">
      <c r="Q73">
        <v>66</v>
      </c>
      <c r="R73" s="105">
        <f t="shared" si="43"/>
        <v>20</v>
      </c>
      <c r="S73" s="106">
        <f t="shared" si="44"/>
        <v>0.44</v>
      </c>
      <c r="T73" s="106">
        <f t="shared" si="45"/>
        <v>4</v>
      </c>
      <c r="U73" s="107">
        <f t="shared" si="46"/>
        <v>2.2</v>
      </c>
      <c r="V73" s="105">
        <f t="shared" si="47"/>
        <v>2</v>
      </c>
      <c r="W73" s="106">
        <f t="shared" si="48"/>
        <v>0.833333333333333</v>
      </c>
      <c r="X73" s="107">
        <f t="shared" si="49"/>
        <v>0.166666666666667</v>
      </c>
      <c r="Y73" s="105">
        <f t="shared" si="55"/>
        <v>0.476190476190476</v>
      </c>
      <c r="Z73" s="106">
        <f t="shared" si="56"/>
        <v>3.11619047619048</v>
      </c>
      <c r="AA73" s="106">
        <f t="shared" si="57"/>
        <v>2.20429046349792</v>
      </c>
      <c r="AB73" s="106">
        <v>0</v>
      </c>
      <c r="AC73" s="106">
        <f t="shared" si="58"/>
        <v>0.0485889644746788</v>
      </c>
      <c r="AD73" s="107">
        <f t="shared" si="59"/>
        <v>0.0485889644746788</v>
      </c>
      <c r="AE73" s="105">
        <f t="shared" si="60"/>
        <v>0.806666666666667</v>
      </c>
      <c r="AF73" s="106">
        <f t="shared" si="61"/>
        <v>2.20429046349792</v>
      </c>
      <c r="AG73" s="106">
        <f t="shared" si="50"/>
        <v>0.0315828269085412</v>
      </c>
      <c r="AH73" s="106">
        <f t="shared" si="51"/>
        <v>-0.125393514344106</v>
      </c>
      <c r="AI73" s="107">
        <f t="shared" si="62"/>
        <v>-0.0938106874355648</v>
      </c>
      <c r="AJ73" s="105">
        <f t="shared" si="63"/>
        <v>0.44</v>
      </c>
      <c r="AK73" s="106">
        <f t="shared" si="64"/>
        <v>1.17631689657552</v>
      </c>
      <c r="AL73" s="106">
        <f t="shared" si="65"/>
        <v>0.143</v>
      </c>
      <c r="AM73" s="106">
        <f t="shared" si="52"/>
        <v>0</v>
      </c>
      <c r="AN73" s="107">
        <f t="shared" si="66"/>
        <v>0.143</v>
      </c>
      <c r="AO73" s="105">
        <f t="shared" si="53"/>
        <v>0.0485889644746788</v>
      </c>
      <c r="AP73" s="106">
        <f t="shared" si="54"/>
        <v>0.1512</v>
      </c>
      <c r="AQ73" s="107">
        <f t="shared" si="67"/>
        <v>0.0132</v>
      </c>
      <c r="AR73" s="105">
        <f t="shared" si="68"/>
        <v>0.262178277039114</v>
      </c>
      <c r="AS73" s="106">
        <f t="shared" si="69"/>
        <v>8.8</v>
      </c>
      <c r="AT73" s="107">
        <f t="shared" si="70"/>
        <v>97.1068956157771</v>
      </c>
    </row>
    <row r="74" spans="17:46">
      <c r="Q74">
        <v>67</v>
      </c>
      <c r="R74" s="105">
        <f t="shared" si="43"/>
        <v>20</v>
      </c>
      <c r="S74" s="106">
        <f t="shared" si="44"/>
        <v>0.446666666666667</v>
      </c>
      <c r="T74" s="106">
        <f t="shared" si="45"/>
        <v>4</v>
      </c>
      <c r="U74" s="107">
        <f t="shared" si="46"/>
        <v>2.23333333333333</v>
      </c>
      <c r="V74" s="105">
        <f t="shared" si="47"/>
        <v>2</v>
      </c>
      <c r="W74" s="106">
        <f t="shared" si="48"/>
        <v>0.833333333333333</v>
      </c>
      <c r="X74" s="107">
        <f t="shared" si="49"/>
        <v>0.166666666666667</v>
      </c>
      <c r="Y74" s="105">
        <f t="shared" si="55"/>
        <v>0.476190476190476</v>
      </c>
      <c r="Z74" s="106">
        <f t="shared" si="56"/>
        <v>3.15619047619048</v>
      </c>
      <c r="AA74" s="106">
        <f t="shared" si="57"/>
        <v>2.23755988193515</v>
      </c>
      <c r="AB74" s="106">
        <v>0</v>
      </c>
      <c r="AC74" s="106">
        <f t="shared" si="58"/>
        <v>0.0500667422524565</v>
      </c>
      <c r="AD74" s="107">
        <f t="shared" si="59"/>
        <v>0.0500667422524565</v>
      </c>
      <c r="AE74" s="105">
        <f t="shared" si="60"/>
        <v>0.831296296296296</v>
      </c>
      <c r="AF74" s="106">
        <f t="shared" si="61"/>
        <v>2.23755988193515</v>
      </c>
      <c r="AG74" s="106">
        <f t="shared" si="50"/>
        <v>0.0325433824640967</v>
      </c>
      <c r="AH74" s="106">
        <f t="shared" si="51"/>
        <v>-0.127293416076592</v>
      </c>
      <c r="AI74" s="107">
        <f t="shared" si="62"/>
        <v>-0.0947500336124957</v>
      </c>
      <c r="AJ74" s="105">
        <f t="shared" si="63"/>
        <v>0.446666666666667</v>
      </c>
      <c r="AK74" s="106">
        <f t="shared" si="64"/>
        <v>1.19262848826042</v>
      </c>
      <c r="AL74" s="106">
        <f t="shared" si="65"/>
        <v>0.145166666666667</v>
      </c>
      <c r="AM74" s="106">
        <f t="shared" si="52"/>
        <v>0</v>
      </c>
      <c r="AN74" s="107">
        <f t="shared" si="66"/>
        <v>0.145166666666667</v>
      </c>
      <c r="AO74" s="105">
        <f t="shared" si="53"/>
        <v>0.0500667422524565</v>
      </c>
      <c r="AP74" s="106">
        <f t="shared" si="54"/>
        <v>0.1512</v>
      </c>
      <c r="AQ74" s="107">
        <f t="shared" si="67"/>
        <v>0.0132</v>
      </c>
      <c r="AR74" s="105">
        <f t="shared" si="68"/>
        <v>0.264883375306628</v>
      </c>
      <c r="AS74" s="106">
        <f t="shared" si="69"/>
        <v>8.93333333333333</v>
      </c>
      <c r="AT74" s="107">
        <f t="shared" si="70"/>
        <v>97.1202746826152</v>
      </c>
    </row>
    <row r="75" spans="17:46">
      <c r="Q75">
        <v>68</v>
      </c>
      <c r="R75" s="105">
        <f t="shared" si="43"/>
        <v>20</v>
      </c>
      <c r="S75" s="106">
        <f t="shared" si="44"/>
        <v>0.453333333333333</v>
      </c>
      <c r="T75" s="106">
        <f t="shared" si="45"/>
        <v>4</v>
      </c>
      <c r="U75" s="107">
        <f t="shared" si="46"/>
        <v>2.26666666666667</v>
      </c>
      <c r="V75" s="105">
        <f t="shared" si="47"/>
        <v>2</v>
      </c>
      <c r="W75" s="106">
        <f t="shared" si="48"/>
        <v>0.833333333333333</v>
      </c>
      <c r="X75" s="107">
        <f t="shared" si="49"/>
        <v>0.166666666666667</v>
      </c>
      <c r="Y75" s="105">
        <f t="shared" si="55"/>
        <v>0.476190476190476</v>
      </c>
      <c r="Z75" s="106">
        <f t="shared" si="56"/>
        <v>3.19619047619048</v>
      </c>
      <c r="AA75" s="106">
        <f t="shared" si="57"/>
        <v>2.27083117497661</v>
      </c>
      <c r="AB75" s="106">
        <v>0</v>
      </c>
      <c r="AC75" s="106">
        <f t="shared" si="58"/>
        <v>0.0515667422524565</v>
      </c>
      <c r="AD75" s="107">
        <f t="shared" si="59"/>
        <v>0.0515667422524565</v>
      </c>
      <c r="AE75" s="105">
        <f t="shared" si="60"/>
        <v>0.856296296296296</v>
      </c>
      <c r="AF75" s="106">
        <f t="shared" si="61"/>
        <v>2.27083117497661</v>
      </c>
      <c r="AG75" s="106">
        <f t="shared" si="50"/>
        <v>0.0335183824640967</v>
      </c>
      <c r="AH75" s="106">
        <f t="shared" si="51"/>
        <v>-0.129193317809079</v>
      </c>
      <c r="AI75" s="107">
        <f t="shared" si="62"/>
        <v>-0.0956749353449821</v>
      </c>
      <c r="AJ75" s="105">
        <f t="shared" si="63"/>
        <v>0.453333333333333</v>
      </c>
      <c r="AK75" s="106">
        <f t="shared" si="64"/>
        <v>1.20894057512557</v>
      </c>
      <c r="AL75" s="106">
        <f t="shared" si="65"/>
        <v>0.147333333333333</v>
      </c>
      <c r="AM75" s="106">
        <f t="shared" si="52"/>
        <v>0</v>
      </c>
      <c r="AN75" s="107">
        <f t="shared" si="66"/>
        <v>0.147333333333333</v>
      </c>
      <c r="AO75" s="105">
        <f t="shared" si="53"/>
        <v>0.0515667422524565</v>
      </c>
      <c r="AP75" s="106">
        <f t="shared" si="54"/>
        <v>0.1512</v>
      </c>
      <c r="AQ75" s="107">
        <f t="shared" si="67"/>
        <v>0.0132</v>
      </c>
      <c r="AR75" s="105">
        <f t="shared" si="68"/>
        <v>0.267625140240808</v>
      </c>
      <c r="AS75" s="106">
        <f t="shared" si="69"/>
        <v>9.06666666666667</v>
      </c>
      <c r="AT75" s="107">
        <f t="shared" si="70"/>
        <v>97.1328822177729</v>
      </c>
    </row>
    <row r="76" spans="17:46">
      <c r="Q76">
        <v>69</v>
      </c>
      <c r="R76" s="105">
        <f t="shared" si="43"/>
        <v>20</v>
      </c>
      <c r="S76" s="106">
        <f t="shared" si="44"/>
        <v>0.46</v>
      </c>
      <c r="T76" s="106">
        <f t="shared" si="45"/>
        <v>4</v>
      </c>
      <c r="U76" s="107">
        <f t="shared" si="46"/>
        <v>2.3</v>
      </c>
      <c r="V76" s="105">
        <f t="shared" si="47"/>
        <v>2</v>
      </c>
      <c r="W76" s="106">
        <f t="shared" si="48"/>
        <v>0.833333333333333</v>
      </c>
      <c r="X76" s="107">
        <f t="shared" si="49"/>
        <v>0.166666666666667</v>
      </c>
      <c r="Y76" s="105">
        <f t="shared" si="55"/>
        <v>0.476190476190476</v>
      </c>
      <c r="Z76" s="106">
        <f t="shared" si="56"/>
        <v>3.23619047619048</v>
      </c>
      <c r="AA76" s="106">
        <f t="shared" si="57"/>
        <v>2.30410426141437</v>
      </c>
      <c r="AB76" s="106">
        <v>0</v>
      </c>
      <c r="AC76" s="106">
        <f t="shared" si="58"/>
        <v>0.0530889644746788</v>
      </c>
      <c r="AD76" s="107">
        <f t="shared" si="59"/>
        <v>0.0530889644746788</v>
      </c>
      <c r="AE76" s="105">
        <f t="shared" si="60"/>
        <v>0.881666666666667</v>
      </c>
      <c r="AF76" s="106">
        <f t="shared" si="61"/>
        <v>2.30410426141437</v>
      </c>
      <c r="AG76" s="106">
        <f t="shared" si="50"/>
        <v>0.0345078269085412</v>
      </c>
      <c r="AH76" s="106">
        <f t="shared" si="51"/>
        <v>-0.131093219541565</v>
      </c>
      <c r="AI76" s="107">
        <f t="shared" si="62"/>
        <v>-0.0965853926330241</v>
      </c>
      <c r="AJ76" s="105">
        <f t="shared" si="63"/>
        <v>0.46</v>
      </c>
      <c r="AK76" s="106">
        <f t="shared" si="64"/>
        <v>1.2252531373936</v>
      </c>
      <c r="AL76" s="106">
        <f t="shared" si="65"/>
        <v>0.1495</v>
      </c>
      <c r="AM76" s="106">
        <f t="shared" si="52"/>
        <v>0</v>
      </c>
      <c r="AN76" s="107">
        <f t="shared" si="66"/>
        <v>0.1495</v>
      </c>
      <c r="AO76" s="105">
        <f t="shared" si="53"/>
        <v>0.0530889644746788</v>
      </c>
      <c r="AP76" s="106">
        <f t="shared" si="54"/>
        <v>0.1512</v>
      </c>
      <c r="AQ76" s="107">
        <f t="shared" si="67"/>
        <v>0.0132</v>
      </c>
      <c r="AR76" s="105">
        <f t="shared" si="68"/>
        <v>0.270403571841655</v>
      </c>
      <c r="AS76" s="106">
        <f t="shared" si="69"/>
        <v>9.2</v>
      </c>
      <c r="AT76" s="107">
        <f t="shared" si="70"/>
        <v>97.1447513319744</v>
      </c>
    </row>
    <row r="77" spans="17:46">
      <c r="Q77">
        <v>70</v>
      </c>
      <c r="R77" s="105">
        <f t="shared" si="43"/>
        <v>20</v>
      </c>
      <c r="S77" s="106">
        <f t="shared" si="44"/>
        <v>0.466666666666667</v>
      </c>
      <c r="T77" s="106">
        <f t="shared" si="45"/>
        <v>4</v>
      </c>
      <c r="U77" s="107">
        <f t="shared" si="46"/>
        <v>2.33333333333333</v>
      </c>
      <c r="V77" s="105">
        <f t="shared" si="47"/>
        <v>2</v>
      </c>
      <c r="W77" s="106">
        <f t="shared" si="48"/>
        <v>0.833333333333333</v>
      </c>
      <c r="X77" s="107">
        <f t="shared" si="49"/>
        <v>0.166666666666667</v>
      </c>
      <c r="Y77" s="105">
        <f t="shared" si="55"/>
        <v>0.476190476190476</v>
      </c>
      <c r="Z77" s="106">
        <f t="shared" si="56"/>
        <v>3.27619047619048</v>
      </c>
      <c r="AA77" s="106">
        <f t="shared" si="57"/>
        <v>2.33737906466031</v>
      </c>
      <c r="AB77" s="106">
        <v>0</v>
      </c>
      <c r="AC77" s="106">
        <f t="shared" si="58"/>
        <v>0.0546334089191232</v>
      </c>
      <c r="AD77" s="107">
        <f t="shared" si="59"/>
        <v>0.0546334089191232</v>
      </c>
      <c r="AE77" s="105">
        <f t="shared" si="60"/>
        <v>0.907407407407408</v>
      </c>
      <c r="AF77" s="106">
        <f t="shared" si="61"/>
        <v>2.33737906466031</v>
      </c>
      <c r="AG77" s="106">
        <f t="shared" si="50"/>
        <v>0.0355117157974301</v>
      </c>
      <c r="AH77" s="106">
        <f t="shared" si="51"/>
        <v>-0.132993121274052</v>
      </c>
      <c r="AI77" s="107">
        <f t="shared" si="62"/>
        <v>-0.0974814054766217</v>
      </c>
      <c r="AJ77" s="105">
        <f t="shared" si="63"/>
        <v>0.466666666666667</v>
      </c>
      <c r="AK77" s="106">
        <f t="shared" si="64"/>
        <v>1.24156615632601</v>
      </c>
      <c r="AL77" s="106">
        <f t="shared" si="65"/>
        <v>0.151666666666667</v>
      </c>
      <c r="AM77" s="106">
        <f t="shared" si="52"/>
        <v>0</v>
      </c>
      <c r="AN77" s="107">
        <f t="shared" si="66"/>
        <v>0.151666666666667</v>
      </c>
      <c r="AO77" s="105">
        <f t="shared" si="53"/>
        <v>0.0546334089191232</v>
      </c>
      <c r="AP77" s="106">
        <f t="shared" si="54"/>
        <v>0.1512</v>
      </c>
      <c r="AQ77" s="107">
        <f t="shared" si="67"/>
        <v>0.0132</v>
      </c>
      <c r="AR77" s="105">
        <f t="shared" si="68"/>
        <v>0.273218670109168</v>
      </c>
      <c r="AS77" s="106">
        <f t="shared" si="69"/>
        <v>9.33333333333333</v>
      </c>
      <c r="AT77" s="107">
        <f t="shared" si="70"/>
        <v>97.1559132765715</v>
      </c>
    </row>
    <row r="78" spans="17:46">
      <c r="Q78">
        <v>71</v>
      </c>
      <c r="R78" s="105">
        <f t="shared" si="43"/>
        <v>20</v>
      </c>
      <c r="S78" s="106">
        <f t="shared" si="44"/>
        <v>0.473333333333333</v>
      </c>
      <c r="T78" s="106">
        <f t="shared" si="45"/>
        <v>4</v>
      </c>
      <c r="U78" s="107">
        <f t="shared" si="46"/>
        <v>2.36666666666667</v>
      </c>
      <c r="V78" s="105">
        <f t="shared" si="47"/>
        <v>2</v>
      </c>
      <c r="W78" s="106">
        <f t="shared" si="48"/>
        <v>0.833333333333333</v>
      </c>
      <c r="X78" s="107">
        <f t="shared" si="49"/>
        <v>0.166666666666667</v>
      </c>
      <c r="Y78" s="105">
        <f t="shared" si="55"/>
        <v>0.476190476190476</v>
      </c>
      <c r="Z78" s="106">
        <f t="shared" si="56"/>
        <v>3.31619047619048</v>
      </c>
      <c r="AA78" s="106">
        <f t="shared" si="57"/>
        <v>2.37065551242246</v>
      </c>
      <c r="AB78" s="106">
        <v>0</v>
      </c>
      <c r="AC78" s="106">
        <f t="shared" si="58"/>
        <v>0.0562000755857899</v>
      </c>
      <c r="AD78" s="107">
        <f t="shared" si="59"/>
        <v>0.0562000755857899</v>
      </c>
      <c r="AE78" s="105">
        <f t="shared" si="60"/>
        <v>0.933518518518519</v>
      </c>
      <c r="AF78" s="106">
        <f t="shared" si="61"/>
        <v>2.37065551242246</v>
      </c>
      <c r="AG78" s="106">
        <f t="shared" si="50"/>
        <v>0.0365300491307634</v>
      </c>
      <c r="AH78" s="106">
        <f t="shared" si="51"/>
        <v>-0.134893023006538</v>
      </c>
      <c r="AI78" s="107">
        <f t="shared" si="62"/>
        <v>-0.0983629738757748</v>
      </c>
      <c r="AJ78" s="105">
        <f t="shared" si="63"/>
        <v>0.473333333333333</v>
      </c>
      <c r="AK78" s="106">
        <f t="shared" si="64"/>
        <v>1.2578796141558</v>
      </c>
      <c r="AL78" s="106">
        <f t="shared" si="65"/>
        <v>0.153833333333333</v>
      </c>
      <c r="AM78" s="106">
        <f t="shared" si="52"/>
        <v>0</v>
      </c>
      <c r="AN78" s="107">
        <f t="shared" si="66"/>
        <v>0.153833333333333</v>
      </c>
      <c r="AO78" s="105">
        <f t="shared" si="53"/>
        <v>0.0562000755857899</v>
      </c>
      <c r="AP78" s="106">
        <f t="shared" si="54"/>
        <v>0.1512</v>
      </c>
      <c r="AQ78" s="107">
        <f t="shared" si="67"/>
        <v>0.0132</v>
      </c>
      <c r="AR78" s="105">
        <f t="shared" si="68"/>
        <v>0.276070435043348</v>
      </c>
      <c r="AS78" s="106">
        <f t="shared" si="69"/>
        <v>9.46666666666667</v>
      </c>
      <c r="AT78" s="107">
        <f t="shared" si="70"/>
        <v>97.1663975722501</v>
      </c>
    </row>
    <row r="79" spans="17:46">
      <c r="Q79">
        <v>72</v>
      </c>
      <c r="R79" s="105">
        <f t="shared" si="43"/>
        <v>20</v>
      </c>
      <c r="S79" s="106">
        <f t="shared" si="44"/>
        <v>0.48</v>
      </c>
      <c r="T79" s="106">
        <f t="shared" si="45"/>
        <v>4</v>
      </c>
      <c r="U79" s="107">
        <f t="shared" si="46"/>
        <v>2.4</v>
      </c>
      <c r="V79" s="105">
        <f t="shared" si="47"/>
        <v>2</v>
      </c>
      <c r="W79" s="106">
        <f t="shared" si="48"/>
        <v>0.833333333333333</v>
      </c>
      <c r="X79" s="107">
        <f t="shared" si="49"/>
        <v>0.166666666666667</v>
      </c>
      <c r="Y79" s="105">
        <f t="shared" si="55"/>
        <v>0.476190476190476</v>
      </c>
      <c r="Z79" s="106">
        <f t="shared" si="56"/>
        <v>3.35619047619048</v>
      </c>
      <c r="AA79" s="106">
        <f t="shared" si="57"/>
        <v>2.40393353640817</v>
      </c>
      <c r="AB79" s="106">
        <v>0</v>
      </c>
      <c r="AC79" s="106">
        <f t="shared" si="58"/>
        <v>0.0577889644746788</v>
      </c>
      <c r="AD79" s="107">
        <f t="shared" si="59"/>
        <v>0.0577889644746788</v>
      </c>
      <c r="AE79" s="105">
        <f t="shared" si="60"/>
        <v>0.96</v>
      </c>
      <c r="AF79" s="106">
        <f t="shared" si="61"/>
        <v>2.40393353640817</v>
      </c>
      <c r="AG79" s="106">
        <f t="shared" si="50"/>
        <v>0.0375628269085412</v>
      </c>
      <c r="AH79" s="106">
        <f t="shared" si="51"/>
        <v>-0.136792924739025</v>
      </c>
      <c r="AI79" s="107">
        <f t="shared" si="62"/>
        <v>-0.0992300978304835</v>
      </c>
      <c r="AJ79" s="105">
        <f t="shared" si="63"/>
        <v>0.48</v>
      </c>
      <c r="AK79" s="106">
        <f t="shared" si="64"/>
        <v>1.27419349402541</v>
      </c>
      <c r="AL79" s="106">
        <f t="shared" si="65"/>
        <v>0.156</v>
      </c>
      <c r="AM79" s="106">
        <f t="shared" si="52"/>
        <v>0</v>
      </c>
      <c r="AN79" s="107">
        <f t="shared" si="66"/>
        <v>0.156</v>
      </c>
      <c r="AO79" s="105">
        <f t="shared" si="53"/>
        <v>0.0577889644746788</v>
      </c>
      <c r="AP79" s="106">
        <f t="shared" si="54"/>
        <v>0.1512</v>
      </c>
      <c r="AQ79" s="107">
        <f t="shared" si="67"/>
        <v>0.0132</v>
      </c>
      <c r="AR79" s="105">
        <f t="shared" si="68"/>
        <v>0.278958866644195</v>
      </c>
      <c r="AS79" s="106">
        <f t="shared" si="69"/>
        <v>9.6</v>
      </c>
      <c r="AT79" s="107">
        <f t="shared" si="70"/>
        <v>97.1762321271922</v>
      </c>
    </row>
    <row r="80" spans="17:46">
      <c r="Q80">
        <v>73</v>
      </c>
      <c r="R80" s="105">
        <f t="shared" si="43"/>
        <v>20</v>
      </c>
      <c r="S80" s="106">
        <f t="shared" si="44"/>
        <v>0.486666666666667</v>
      </c>
      <c r="T80" s="106">
        <f t="shared" si="45"/>
        <v>4</v>
      </c>
      <c r="U80" s="107">
        <f t="shared" si="46"/>
        <v>2.43333333333333</v>
      </c>
      <c r="V80" s="105">
        <f t="shared" si="47"/>
        <v>2</v>
      </c>
      <c r="W80" s="106">
        <f t="shared" si="48"/>
        <v>0.833333333333333</v>
      </c>
      <c r="X80" s="107">
        <f t="shared" si="49"/>
        <v>0.166666666666667</v>
      </c>
      <c r="Y80" s="105">
        <f t="shared" si="55"/>
        <v>0.476190476190476</v>
      </c>
      <c r="Z80" s="106">
        <f t="shared" si="56"/>
        <v>3.39619047619048</v>
      </c>
      <c r="AA80" s="106">
        <f t="shared" si="57"/>
        <v>2.43721307205156</v>
      </c>
      <c r="AB80" s="106">
        <v>0</v>
      </c>
      <c r="AC80" s="106">
        <f t="shared" si="58"/>
        <v>0.0594000755857899</v>
      </c>
      <c r="AD80" s="107">
        <f t="shared" si="59"/>
        <v>0.0594000755857899</v>
      </c>
      <c r="AE80" s="105">
        <f t="shared" si="60"/>
        <v>0.986851851851852</v>
      </c>
      <c r="AF80" s="106">
        <f t="shared" si="61"/>
        <v>2.43721307205156</v>
      </c>
      <c r="AG80" s="106">
        <f t="shared" si="50"/>
        <v>0.0386100491307634</v>
      </c>
      <c r="AH80" s="106">
        <f t="shared" si="51"/>
        <v>-0.138692826471511</v>
      </c>
      <c r="AI80" s="107">
        <f t="shared" si="62"/>
        <v>-0.100082777340748</v>
      </c>
      <c r="AJ80" s="105">
        <f t="shared" si="63"/>
        <v>0.486666666666667</v>
      </c>
      <c r="AK80" s="106">
        <f t="shared" si="64"/>
        <v>1.29050777992926</v>
      </c>
      <c r="AL80" s="106">
        <f t="shared" si="65"/>
        <v>0.158166666666667</v>
      </c>
      <c r="AM80" s="106">
        <f t="shared" si="52"/>
        <v>0</v>
      </c>
      <c r="AN80" s="107">
        <f t="shared" si="66"/>
        <v>0.158166666666667</v>
      </c>
      <c r="AO80" s="105">
        <f t="shared" si="53"/>
        <v>0.0594000755857899</v>
      </c>
      <c r="AP80" s="106">
        <f t="shared" si="54"/>
        <v>0.1512</v>
      </c>
      <c r="AQ80" s="107">
        <f t="shared" si="67"/>
        <v>0.0132</v>
      </c>
      <c r="AR80" s="105">
        <f t="shared" si="68"/>
        <v>0.281883964911709</v>
      </c>
      <c r="AS80" s="106">
        <f t="shared" si="69"/>
        <v>9.73333333333333</v>
      </c>
      <c r="AT80" s="107">
        <f t="shared" si="70"/>
        <v>97.1854433456865</v>
      </c>
    </row>
    <row r="81" spans="17:46">
      <c r="Q81">
        <v>74</v>
      </c>
      <c r="R81" s="105">
        <f t="shared" si="43"/>
        <v>20</v>
      </c>
      <c r="S81" s="106">
        <f t="shared" si="44"/>
        <v>0.493333333333333</v>
      </c>
      <c r="T81" s="106">
        <f t="shared" si="45"/>
        <v>4</v>
      </c>
      <c r="U81" s="107">
        <f t="shared" si="46"/>
        <v>2.46666666666667</v>
      </c>
      <c r="V81" s="105">
        <f t="shared" si="47"/>
        <v>2</v>
      </c>
      <c r="W81" s="106">
        <f t="shared" si="48"/>
        <v>0.833333333333333</v>
      </c>
      <c r="X81" s="107">
        <f t="shared" si="49"/>
        <v>0.166666666666667</v>
      </c>
      <c r="Y81" s="105">
        <f t="shared" si="55"/>
        <v>0.476190476190476</v>
      </c>
      <c r="Z81" s="106">
        <f t="shared" si="56"/>
        <v>3.43619047619048</v>
      </c>
      <c r="AA81" s="106">
        <f t="shared" si="57"/>
        <v>2.47049405826291</v>
      </c>
      <c r="AB81" s="106">
        <v>0</v>
      </c>
      <c r="AC81" s="106">
        <f t="shared" si="58"/>
        <v>0.0610334089191232</v>
      </c>
      <c r="AD81" s="107">
        <f t="shared" si="59"/>
        <v>0.0610334089191232</v>
      </c>
      <c r="AE81" s="105">
        <f t="shared" si="60"/>
        <v>1.01407407407407</v>
      </c>
      <c r="AF81" s="106">
        <f t="shared" si="61"/>
        <v>2.47049405826291</v>
      </c>
      <c r="AG81" s="106">
        <f t="shared" si="50"/>
        <v>0.0396717157974301</v>
      </c>
      <c r="AH81" s="106">
        <f t="shared" si="51"/>
        <v>-0.140592728203998</v>
      </c>
      <c r="AI81" s="107">
        <f t="shared" si="62"/>
        <v>-0.100921012406567</v>
      </c>
      <c r="AJ81" s="105">
        <f t="shared" si="63"/>
        <v>0.493333333333333</v>
      </c>
      <c r="AK81" s="106">
        <f t="shared" si="64"/>
        <v>1.30682245666064</v>
      </c>
      <c r="AL81" s="106">
        <f t="shared" si="65"/>
        <v>0.160333333333333</v>
      </c>
      <c r="AM81" s="106">
        <f t="shared" si="52"/>
        <v>0</v>
      </c>
      <c r="AN81" s="107">
        <f t="shared" si="66"/>
        <v>0.160333333333333</v>
      </c>
      <c r="AO81" s="105">
        <f t="shared" si="53"/>
        <v>0.0610334089191232</v>
      </c>
      <c r="AP81" s="106">
        <f t="shared" si="54"/>
        <v>0.1512</v>
      </c>
      <c r="AQ81" s="107">
        <f t="shared" si="67"/>
        <v>0.0132</v>
      </c>
      <c r="AR81" s="105">
        <f t="shared" si="68"/>
        <v>0.284845729845889</v>
      </c>
      <c r="AS81" s="106">
        <f t="shared" si="69"/>
        <v>9.86666666666667</v>
      </c>
      <c r="AT81" s="107">
        <f t="shared" si="70"/>
        <v>97.1940562280775</v>
      </c>
    </row>
    <row r="82" spans="17:46">
      <c r="Q82">
        <v>75</v>
      </c>
      <c r="R82" s="105">
        <f t="shared" si="43"/>
        <v>20</v>
      </c>
      <c r="S82" s="106">
        <f t="shared" si="44"/>
        <v>0.5</v>
      </c>
      <c r="T82" s="106">
        <f t="shared" si="45"/>
        <v>4</v>
      </c>
      <c r="U82" s="107">
        <f t="shared" si="46"/>
        <v>2.5</v>
      </c>
      <c r="V82" s="105">
        <f t="shared" si="47"/>
        <v>2</v>
      </c>
      <c r="W82" s="106">
        <f t="shared" si="48"/>
        <v>0.833333333333333</v>
      </c>
      <c r="X82" s="107">
        <f t="shared" si="49"/>
        <v>0.166666666666667</v>
      </c>
      <c r="Y82" s="105">
        <f t="shared" si="55"/>
        <v>0.476190476190476</v>
      </c>
      <c r="Z82" s="106">
        <f t="shared" si="56"/>
        <v>3.47619047619048</v>
      </c>
      <c r="AA82" s="106">
        <f t="shared" si="57"/>
        <v>2.50377643719799</v>
      </c>
      <c r="AB82" s="106">
        <v>0</v>
      </c>
      <c r="AC82" s="106">
        <f t="shared" si="58"/>
        <v>0.0626889644746788</v>
      </c>
      <c r="AD82" s="107">
        <f t="shared" si="59"/>
        <v>0.0626889644746788</v>
      </c>
      <c r="AE82" s="105">
        <f t="shared" si="60"/>
        <v>1.04166666666667</v>
      </c>
      <c r="AF82" s="106">
        <f t="shared" si="61"/>
        <v>2.50377643719799</v>
      </c>
      <c r="AG82" s="106">
        <f t="shared" si="50"/>
        <v>0.0407478269085412</v>
      </c>
      <c r="AH82" s="106">
        <f t="shared" si="51"/>
        <v>-0.142492629936484</v>
      </c>
      <c r="AI82" s="107">
        <f t="shared" si="62"/>
        <v>-0.101744803027943</v>
      </c>
      <c r="AJ82" s="105">
        <f t="shared" si="63"/>
        <v>0.5</v>
      </c>
      <c r="AK82" s="106">
        <f t="shared" si="64"/>
        <v>1.32313750976249</v>
      </c>
      <c r="AL82" s="106">
        <f t="shared" si="65"/>
        <v>0.1625</v>
      </c>
      <c r="AM82" s="106">
        <f t="shared" si="52"/>
        <v>0</v>
      </c>
      <c r="AN82" s="107">
        <f t="shared" si="66"/>
        <v>0.1625</v>
      </c>
      <c r="AO82" s="105">
        <f t="shared" si="53"/>
        <v>0.0626889644746788</v>
      </c>
      <c r="AP82" s="106">
        <f t="shared" si="54"/>
        <v>0.1512</v>
      </c>
      <c r="AQ82" s="107">
        <f t="shared" si="67"/>
        <v>0.0132</v>
      </c>
      <c r="AR82" s="105">
        <f t="shared" si="68"/>
        <v>0.287844161446736</v>
      </c>
      <c r="AS82" s="106">
        <f t="shared" si="69"/>
        <v>10</v>
      </c>
      <c r="AT82" s="107">
        <f t="shared" si="70"/>
        <v>97.2020944628475</v>
      </c>
    </row>
    <row r="83" spans="17:46">
      <c r="Q83">
        <v>76</v>
      </c>
      <c r="R83" s="105">
        <f t="shared" si="43"/>
        <v>20</v>
      </c>
      <c r="S83" s="106">
        <f t="shared" si="44"/>
        <v>0.506666666666667</v>
      </c>
      <c r="T83" s="106">
        <f t="shared" si="45"/>
        <v>4</v>
      </c>
      <c r="U83" s="107">
        <f t="shared" si="46"/>
        <v>2.53333333333333</v>
      </c>
      <c r="V83" s="105">
        <f t="shared" si="47"/>
        <v>2</v>
      </c>
      <c r="W83" s="106">
        <f t="shared" si="48"/>
        <v>0.833333333333333</v>
      </c>
      <c r="X83" s="107">
        <f t="shared" si="49"/>
        <v>0.166666666666667</v>
      </c>
      <c r="Y83" s="105">
        <f t="shared" si="55"/>
        <v>0.476190476190476</v>
      </c>
      <c r="Z83" s="106">
        <f t="shared" si="56"/>
        <v>3.51619047619048</v>
      </c>
      <c r="AA83" s="106">
        <f t="shared" si="57"/>
        <v>2.53706015404555</v>
      </c>
      <c r="AB83" s="106">
        <v>0</v>
      </c>
      <c r="AC83" s="106">
        <f t="shared" si="58"/>
        <v>0.0643667422524565</v>
      </c>
      <c r="AD83" s="107">
        <f t="shared" si="59"/>
        <v>0.0643667422524565</v>
      </c>
      <c r="AE83" s="105">
        <f t="shared" si="60"/>
        <v>1.06962962962963</v>
      </c>
      <c r="AF83" s="106">
        <f t="shared" si="61"/>
        <v>2.53706015404555</v>
      </c>
      <c r="AG83" s="106">
        <f t="shared" si="50"/>
        <v>0.0418383824640967</v>
      </c>
      <c r="AH83" s="106">
        <f t="shared" si="51"/>
        <v>-0.144392531668971</v>
      </c>
      <c r="AI83" s="107">
        <f t="shared" si="62"/>
        <v>-0.102554149204874</v>
      </c>
      <c r="AJ83" s="105">
        <f t="shared" si="63"/>
        <v>0.506666666666667</v>
      </c>
      <c r="AK83" s="106">
        <f t="shared" si="64"/>
        <v>1.3394529254818</v>
      </c>
      <c r="AL83" s="106">
        <f t="shared" si="65"/>
        <v>0.164666666666667</v>
      </c>
      <c r="AM83" s="106">
        <f t="shared" si="52"/>
        <v>0</v>
      </c>
      <c r="AN83" s="107">
        <f t="shared" si="66"/>
        <v>0.164666666666667</v>
      </c>
      <c r="AO83" s="105">
        <f t="shared" si="53"/>
        <v>0.0643667422524565</v>
      </c>
      <c r="AP83" s="106">
        <f t="shared" si="54"/>
        <v>0.1512</v>
      </c>
      <c r="AQ83" s="107">
        <f t="shared" si="67"/>
        <v>0.0132</v>
      </c>
      <c r="AR83" s="105">
        <f t="shared" si="68"/>
        <v>0.290879259714249</v>
      </c>
      <c r="AS83" s="106">
        <f t="shared" si="69"/>
        <v>10.1333333333333</v>
      </c>
      <c r="AT83" s="107">
        <f t="shared" si="70"/>
        <v>97.2095805115462</v>
      </c>
    </row>
    <row r="84" spans="17:46">
      <c r="Q84">
        <v>77</v>
      </c>
      <c r="R84" s="105">
        <f t="shared" si="43"/>
        <v>20</v>
      </c>
      <c r="S84" s="106">
        <f t="shared" si="44"/>
        <v>0.513333333333333</v>
      </c>
      <c r="T84" s="106">
        <f t="shared" si="45"/>
        <v>4</v>
      </c>
      <c r="U84" s="107">
        <f t="shared" si="46"/>
        <v>2.56666666666667</v>
      </c>
      <c r="V84" s="105">
        <f t="shared" si="47"/>
        <v>2</v>
      </c>
      <c r="W84" s="106">
        <f t="shared" si="48"/>
        <v>0.833333333333333</v>
      </c>
      <c r="X84" s="107">
        <f t="shared" si="49"/>
        <v>0.166666666666667</v>
      </c>
      <c r="Y84" s="105">
        <f t="shared" si="55"/>
        <v>0.476190476190476</v>
      </c>
      <c r="Z84" s="106">
        <f t="shared" si="56"/>
        <v>3.55619047619048</v>
      </c>
      <c r="AA84" s="106">
        <f t="shared" si="57"/>
        <v>2.57034515683121</v>
      </c>
      <c r="AB84" s="106">
        <v>0</v>
      </c>
      <c r="AC84" s="106">
        <f t="shared" si="58"/>
        <v>0.0660667422524566</v>
      </c>
      <c r="AD84" s="107">
        <f t="shared" si="59"/>
        <v>0.0660667422524566</v>
      </c>
      <c r="AE84" s="105">
        <f t="shared" si="60"/>
        <v>1.09796296296296</v>
      </c>
      <c r="AF84" s="106">
        <f t="shared" si="61"/>
        <v>2.57034515683121</v>
      </c>
      <c r="AG84" s="106">
        <f t="shared" si="50"/>
        <v>0.0429433824640968</v>
      </c>
      <c r="AH84" s="106">
        <f t="shared" si="51"/>
        <v>-0.146292433401457</v>
      </c>
      <c r="AI84" s="107">
        <f t="shared" si="62"/>
        <v>-0.10334905093736</v>
      </c>
      <c r="AJ84" s="105">
        <f t="shared" si="63"/>
        <v>0.513333333333333</v>
      </c>
      <c r="AK84" s="106">
        <f t="shared" si="64"/>
        <v>1.35576869072728</v>
      </c>
      <c r="AL84" s="106">
        <f t="shared" si="65"/>
        <v>0.166833333333333</v>
      </c>
      <c r="AM84" s="106">
        <f t="shared" si="52"/>
        <v>0</v>
      </c>
      <c r="AN84" s="107">
        <f t="shared" si="66"/>
        <v>0.166833333333333</v>
      </c>
      <c r="AO84" s="105">
        <f t="shared" si="53"/>
        <v>0.0660667422524566</v>
      </c>
      <c r="AP84" s="106">
        <f t="shared" si="54"/>
        <v>0.1512</v>
      </c>
      <c r="AQ84" s="107">
        <f t="shared" si="67"/>
        <v>0.0132</v>
      </c>
      <c r="AR84" s="105">
        <f t="shared" si="68"/>
        <v>0.29395102464843</v>
      </c>
      <c r="AS84" s="106">
        <f t="shared" si="69"/>
        <v>10.2666666666667</v>
      </c>
      <c r="AT84" s="107">
        <f t="shared" si="70"/>
        <v>97.2165356872054</v>
      </c>
    </row>
    <row r="85" spans="17:46">
      <c r="Q85">
        <v>78</v>
      </c>
      <c r="R85" s="105">
        <f t="shared" si="43"/>
        <v>20</v>
      </c>
      <c r="S85" s="106">
        <f t="shared" si="44"/>
        <v>0.52</v>
      </c>
      <c r="T85" s="106">
        <f t="shared" si="45"/>
        <v>4</v>
      </c>
      <c r="U85" s="107">
        <f t="shared" si="46"/>
        <v>2.6</v>
      </c>
      <c r="V85" s="105">
        <f t="shared" si="47"/>
        <v>2</v>
      </c>
      <c r="W85" s="106">
        <f t="shared" si="48"/>
        <v>0.833333333333333</v>
      </c>
      <c r="X85" s="107">
        <f t="shared" si="49"/>
        <v>0.166666666666667</v>
      </c>
      <c r="Y85" s="105">
        <f t="shared" si="55"/>
        <v>0.476190476190476</v>
      </c>
      <c r="Z85" s="106">
        <f t="shared" si="56"/>
        <v>3.59619047619048</v>
      </c>
      <c r="AA85" s="106">
        <f t="shared" si="57"/>
        <v>2.60363139623639</v>
      </c>
      <c r="AB85" s="106">
        <v>0</v>
      </c>
      <c r="AC85" s="106">
        <f t="shared" si="58"/>
        <v>0.0677889644746788</v>
      </c>
      <c r="AD85" s="107">
        <f t="shared" si="59"/>
        <v>0.0677889644746788</v>
      </c>
      <c r="AE85" s="105">
        <f t="shared" si="60"/>
        <v>1.12666666666667</v>
      </c>
      <c r="AF85" s="106">
        <f t="shared" si="61"/>
        <v>2.60363139623639</v>
      </c>
      <c r="AG85" s="106">
        <f t="shared" si="50"/>
        <v>0.0440628269085412</v>
      </c>
      <c r="AH85" s="106">
        <f t="shared" si="51"/>
        <v>-0.148192335133943</v>
      </c>
      <c r="AI85" s="107">
        <f t="shared" si="62"/>
        <v>-0.104129508225402</v>
      </c>
      <c r="AJ85" s="105">
        <f t="shared" si="63"/>
        <v>0.52</v>
      </c>
      <c r="AK85" s="106">
        <f t="shared" si="64"/>
        <v>1.37208479303004</v>
      </c>
      <c r="AL85" s="106">
        <f t="shared" si="65"/>
        <v>0.169</v>
      </c>
      <c r="AM85" s="106">
        <f t="shared" si="52"/>
        <v>0</v>
      </c>
      <c r="AN85" s="107">
        <f t="shared" si="66"/>
        <v>0.169</v>
      </c>
      <c r="AO85" s="105">
        <f t="shared" si="53"/>
        <v>0.0677889644746788</v>
      </c>
      <c r="AP85" s="106">
        <f t="shared" si="54"/>
        <v>0.1512</v>
      </c>
      <c r="AQ85" s="107">
        <f t="shared" si="67"/>
        <v>0.0132</v>
      </c>
      <c r="AR85" s="105">
        <f t="shared" si="68"/>
        <v>0.297059456249277</v>
      </c>
      <c r="AS85" s="106">
        <f t="shared" si="69"/>
        <v>10.4</v>
      </c>
      <c r="AT85" s="107">
        <f t="shared" si="70"/>
        <v>97.2229802268161</v>
      </c>
    </row>
    <row r="86" spans="17:46">
      <c r="Q86">
        <v>79</v>
      </c>
      <c r="R86" s="105">
        <f t="shared" si="43"/>
        <v>20</v>
      </c>
      <c r="S86" s="106">
        <f t="shared" si="44"/>
        <v>0.526666666666667</v>
      </c>
      <c r="T86" s="106">
        <f t="shared" si="45"/>
        <v>4</v>
      </c>
      <c r="U86" s="107">
        <f t="shared" si="46"/>
        <v>2.63333333333333</v>
      </c>
      <c r="V86" s="105">
        <f t="shared" si="47"/>
        <v>2</v>
      </c>
      <c r="W86" s="106">
        <f t="shared" si="48"/>
        <v>0.833333333333333</v>
      </c>
      <c r="X86" s="107">
        <f t="shared" si="49"/>
        <v>0.166666666666667</v>
      </c>
      <c r="Y86" s="105">
        <f t="shared" si="55"/>
        <v>0.476190476190476</v>
      </c>
      <c r="Z86" s="106">
        <f t="shared" si="56"/>
        <v>3.63619047619048</v>
      </c>
      <c r="AA86" s="106">
        <f t="shared" si="57"/>
        <v>2.63691882543098</v>
      </c>
      <c r="AB86" s="106">
        <v>0</v>
      </c>
      <c r="AC86" s="106">
        <f t="shared" si="58"/>
        <v>0.0695334089191232</v>
      </c>
      <c r="AD86" s="107">
        <f t="shared" si="59"/>
        <v>0.0695334089191232</v>
      </c>
      <c r="AE86" s="105">
        <f t="shared" si="60"/>
        <v>1.15574074074074</v>
      </c>
      <c r="AF86" s="106">
        <f t="shared" si="61"/>
        <v>2.63691882543098</v>
      </c>
      <c r="AG86" s="106">
        <f t="shared" si="50"/>
        <v>0.0451967157974301</v>
      </c>
      <c r="AH86" s="106">
        <f t="shared" si="51"/>
        <v>-0.15009223686643</v>
      </c>
      <c r="AI86" s="107">
        <f t="shared" si="62"/>
        <v>-0.104895521069</v>
      </c>
      <c r="AJ86" s="105">
        <f t="shared" si="63"/>
        <v>0.526666666666667</v>
      </c>
      <c r="AK86" s="106">
        <f t="shared" si="64"/>
        <v>1.38840122050709</v>
      </c>
      <c r="AL86" s="106">
        <f t="shared" si="65"/>
        <v>0.171166666666667</v>
      </c>
      <c r="AM86" s="106">
        <f t="shared" si="52"/>
        <v>0</v>
      </c>
      <c r="AN86" s="107">
        <f t="shared" si="66"/>
        <v>0.171166666666667</v>
      </c>
      <c r="AO86" s="105">
        <f t="shared" si="53"/>
        <v>0.0695334089191232</v>
      </c>
      <c r="AP86" s="106">
        <f t="shared" si="54"/>
        <v>0.1512</v>
      </c>
      <c r="AQ86" s="107">
        <f t="shared" si="67"/>
        <v>0.0132</v>
      </c>
      <c r="AR86" s="105">
        <f t="shared" si="68"/>
        <v>0.30020455451679</v>
      </c>
      <c r="AS86" s="106">
        <f t="shared" si="69"/>
        <v>10.5333333333333</v>
      </c>
      <c r="AT86" s="107">
        <f t="shared" si="70"/>
        <v>97.2289333583863</v>
      </c>
    </row>
    <row r="87" spans="17:46">
      <c r="Q87">
        <v>80</v>
      </c>
      <c r="R87" s="105">
        <f t="shared" si="43"/>
        <v>20</v>
      </c>
      <c r="S87" s="106">
        <f t="shared" si="44"/>
        <v>0.533333333333333</v>
      </c>
      <c r="T87" s="106">
        <f t="shared" si="45"/>
        <v>4</v>
      </c>
      <c r="U87" s="107">
        <f t="shared" si="46"/>
        <v>2.66666666666667</v>
      </c>
      <c r="V87" s="105">
        <f t="shared" si="47"/>
        <v>2</v>
      </c>
      <c r="W87" s="106">
        <f t="shared" si="48"/>
        <v>0.833333333333333</v>
      </c>
      <c r="X87" s="107">
        <f t="shared" si="49"/>
        <v>0.166666666666667</v>
      </c>
      <c r="Y87" s="105">
        <f t="shared" si="55"/>
        <v>0.476190476190476</v>
      </c>
      <c r="Z87" s="106">
        <f t="shared" si="56"/>
        <v>3.67619047619048</v>
      </c>
      <c r="AA87" s="106">
        <f t="shared" si="57"/>
        <v>2.6702073999184</v>
      </c>
      <c r="AB87" s="106">
        <v>0</v>
      </c>
      <c r="AC87" s="106">
        <f t="shared" si="58"/>
        <v>0.0713000755857899</v>
      </c>
      <c r="AD87" s="107">
        <f t="shared" si="59"/>
        <v>0.0713000755857899</v>
      </c>
      <c r="AE87" s="105">
        <f t="shared" si="60"/>
        <v>1.18518518518519</v>
      </c>
      <c r="AF87" s="106">
        <f t="shared" si="61"/>
        <v>2.6702073999184</v>
      </c>
      <c r="AG87" s="106">
        <f t="shared" si="50"/>
        <v>0.0463450491307634</v>
      </c>
      <c r="AH87" s="106">
        <f t="shared" si="51"/>
        <v>-0.151992138598916</v>
      </c>
      <c r="AI87" s="107">
        <f t="shared" si="62"/>
        <v>-0.105647089468153</v>
      </c>
      <c r="AJ87" s="105">
        <f t="shared" si="63"/>
        <v>0.533333333333333</v>
      </c>
      <c r="AK87" s="106">
        <f t="shared" si="64"/>
        <v>1.40471796182727</v>
      </c>
      <c r="AL87" s="106">
        <f t="shared" si="65"/>
        <v>0.173333333333333</v>
      </c>
      <c r="AM87" s="106">
        <f t="shared" si="52"/>
        <v>0</v>
      </c>
      <c r="AN87" s="107">
        <f t="shared" si="66"/>
        <v>0.173333333333333</v>
      </c>
      <c r="AO87" s="105">
        <f t="shared" si="53"/>
        <v>0.0713000755857899</v>
      </c>
      <c r="AP87" s="106">
        <f t="shared" si="54"/>
        <v>0.1512</v>
      </c>
      <c r="AQ87" s="107">
        <f t="shared" si="67"/>
        <v>0.0132</v>
      </c>
      <c r="AR87" s="105">
        <f t="shared" si="68"/>
        <v>0.30338631945097</v>
      </c>
      <c r="AS87" s="106">
        <f t="shared" si="69"/>
        <v>10.6666666666667</v>
      </c>
      <c r="AT87" s="107">
        <f t="shared" si="70"/>
        <v>97.2344133630448</v>
      </c>
    </row>
    <row r="88" spans="17:46">
      <c r="Q88">
        <v>81</v>
      </c>
      <c r="R88" s="105">
        <f t="shared" si="43"/>
        <v>20</v>
      </c>
      <c r="S88" s="106">
        <f t="shared" si="44"/>
        <v>0.54</v>
      </c>
      <c r="T88" s="106">
        <f t="shared" si="45"/>
        <v>4</v>
      </c>
      <c r="U88" s="107">
        <f t="shared" si="46"/>
        <v>2.7</v>
      </c>
      <c r="V88" s="105">
        <f t="shared" si="47"/>
        <v>2</v>
      </c>
      <c r="W88" s="106">
        <f t="shared" si="48"/>
        <v>0.833333333333333</v>
      </c>
      <c r="X88" s="107">
        <f t="shared" si="49"/>
        <v>0.166666666666667</v>
      </c>
      <c r="Y88" s="105">
        <f t="shared" si="55"/>
        <v>0.476190476190476</v>
      </c>
      <c r="Z88" s="106">
        <f t="shared" si="56"/>
        <v>3.71619047619048</v>
      </c>
      <c r="AA88" s="106">
        <f t="shared" si="57"/>
        <v>2.70349707739215</v>
      </c>
      <c r="AB88" s="106">
        <v>0</v>
      </c>
      <c r="AC88" s="106">
        <f t="shared" si="58"/>
        <v>0.0730889644746788</v>
      </c>
      <c r="AD88" s="107">
        <f t="shared" si="59"/>
        <v>0.0730889644746788</v>
      </c>
      <c r="AE88" s="105">
        <f t="shared" si="60"/>
        <v>1.215</v>
      </c>
      <c r="AF88" s="106">
        <f t="shared" si="61"/>
        <v>2.70349707739215</v>
      </c>
      <c r="AG88" s="106">
        <f t="shared" si="50"/>
        <v>0.0475078269085412</v>
      </c>
      <c r="AH88" s="106">
        <f t="shared" si="51"/>
        <v>-0.153892040331403</v>
      </c>
      <c r="AI88" s="107">
        <f t="shared" si="62"/>
        <v>-0.106384213422862</v>
      </c>
      <c r="AJ88" s="105">
        <f t="shared" si="63"/>
        <v>0.54</v>
      </c>
      <c r="AK88" s="106">
        <f t="shared" si="64"/>
        <v>1.42103500617969</v>
      </c>
      <c r="AL88" s="106">
        <f t="shared" si="65"/>
        <v>0.1755</v>
      </c>
      <c r="AM88" s="106">
        <f t="shared" si="52"/>
        <v>0</v>
      </c>
      <c r="AN88" s="107">
        <f t="shared" si="66"/>
        <v>0.1755</v>
      </c>
      <c r="AO88" s="105">
        <f t="shared" si="53"/>
        <v>0.0730889644746788</v>
      </c>
      <c r="AP88" s="106">
        <f t="shared" si="54"/>
        <v>0.1512</v>
      </c>
      <c r="AQ88" s="107">
        <f t="shared" si="67"/>
        <v>0.0132</v>
      </c>
      <c r="AR88" s="105">
        <f t="shared" si="68"/>
        <v>0.306604751051817</v>
      </c>
      <c r="AS88" s="106">
        <f t="shared" si="69"/>
        <v>10.8</v>
      </c>
      <c r="AT88" s="107">
        <f t="shared" si="70"/>
        <v>97.2394376326142</v>
      </c>
    </row>
    <row r="89" spans="17:46">
      <c r="Q89">
        <v>82</v>
      </c>
      <c r="R89" s="105">
        <f t="shared" si="43"/>
        <v>20</v>
      </c>
      <c r="S89" s="106">
        <f t="shared" si="44"/>
        <v>0.546666666666667</v>
      </c>
      <c r="T89" s="106">
        <f t="shared" si="45"/>
        <v>4</v>
      </c>
      <c r="U89" s="107">
        <f t="shared" si="46"/>
        <v>2.73333333333333</v>
      </c>
      <c r="V89" s="105">
        <f t="shared" si="47"/>
        <v>2</v>
      </c>
      <c r="W89" s="106">
        <f t="shared" si="48"/>
        <v>0.833333333333333</v>
      </c>
      <c r="X89" s="107">
        <f t="shared" si="49"/>
        <v>0.166666666666667</v>
      </c>
      <c r="Y89" s="105">
        <f t="shared" si="55"/>
        <v>0.476190476190476</v>
      </c>
      <c r="Z89" s="106">
        <f t="shared" si="56"/>
        <v>3.75619047619048</v>
      </c>
      <c r="AA89" s="106">
        <f t="shared" si="57"/>
        <v>2.73678781760278</v>
      </c>
      <c r="AB89" s="106">
        <v>0</v>
      </c>
      <c r="AC89" s="106">
        <f t="shared" si="58"/>
        <v>0.0749000755857899</v>
      </c>
      <c r="AD89" s="107">
        <f t="shared" si="59"/>
        <v>0.0749000755857899</v>
      </c>
      <c r="AE89" s="105">
        <f t="shared" si="60"/>
        <v>1.24518518518519</v>
      </c>
      <c r="AF89" s="106">
        <f t="shared" si="61"/>
        <v>2.73678781760278</v>
      </c>
      <c r="AG89" s="106">
        <f t="shared" si="50"/>
        <v>0.0486850491307634</v>
      </c>
      <c r="AH89" s="106">
        <f t="shared" si="51"/>
        <v>-0.155791942063889</v>
      </c>
      <c r="AI89" s="107">
        <f t="shared" si="62"/>
        <v>-0.107106892933126</v>
      </c>
      <c r="AJ89" s="105">
        <f t="shared" si="63"/>
        <v>0.546666666666667</v>
      </c>
      <c r="AK89" s="106">
        <f t="shared" si="64"/>
        <v>1.43735234324413</v>
      </c>
      <c r="AL89" s="106">
        <f t="shared" si="65"/>
        <v>0.177666666666667</v>
      </c>
      <c r="AM89" s="106">
        <f t="shared" si="52"/>
        <v>0</v>
      </c>
      <c r="AN89" s="107">
        <f t="shared" si="66"/>
        <v>0.177666666666667</v>
      </c>
      <c r="AO89" s="105">
        <f t="shared" si="53"/>
        <v>0.0749000755857899</v>
      </c>
      <c r="AP89" s="106">
        <f t="shared" si="54"/>
        <v>0.1512</v>
      </c>
      <c r="AQ89" s="107">
        <f t="shared" si="67"/>
        <v>0.0132</v>
      </c>
      <c r="AR89" s="105">
        <f t="shared" si="68"/>
        <v>0.309859849319331</v>
      </c>
      <c r="AS89" s="106">
        <f t="shared" si="69"/>
        <v>10.9333333333333</v>
      </c>
      <c r="AT89" s="107">
        <f t="shared" si="70"/>
        <v>97.2440227230337</v>
      </c>
    </row>
    <row r="90" spans="17:46">
      <c r="Q90">
        <v>83</v>
      </c>
      <c r="R90" s="105">
        <f t="shared" si="43"/>
        <v>20</v>
      </c>
      <c r="S90" s="106">
        <f t="shared" si="44"/>
        <v>0.553333333333333</v>
      </c>
      <c r="T90" s="106">
        <f t="shared" si="45"/>
        <v>4</v>
      </c>
      <c r="U90" s="107">
        <f t="shared" si="46"/>
        <v>2.76666666666667</v>
      </c>
      <c r="V90" s="105">
        <f t="shared" si="47"/>
        <v>2</v>
      </c>
      <c r="W90" s="106">
        <f t="shared" si="48"/>
        <v>0.833333333333333</v>
      </c>
      <c r="X90" s="107">
        <f t="shared" si="49"/>
        <v>0.166666666666667</v>
      </c>
      <c r="Y90" s="105">
        <f t="shared" si="55"/>
        <v>0.476190476190476</v>
      </c>
      <c r="Z90" s="106">
        <f t="shared" si="56"/>
        <v>3.79619047619048</v>
      </c>
      <c r="AA90" s="106">
        <f t="shared" si="57"/>
        <v>2.77007958223447</v>
      </c>
      <c r="AB90" s="106">
        <v>0</v>
      </c>
      <c r="AC90" s="106">
        <f t="shared" si="58"/>
        <v>0.0767334089191232</v>
      </c>
      <c r="AD90" s="107">
        <f t="shared" si="59"/>
        <v>0.0767334089191232</v>
      </c>
      <c r="AE90" s="105">
        <f t="shared" si="60"/>
        <v>1.27574074074074</v>
      </c>
      <c r="AF90" s="106">
        <f t="shared" si="61"/>
        <v>2.77007958223447</v>
      </c>
      <c r="AG90" s="106">
        <f t="shared" si="50"/>
        <v>0.0498767157974301</v>
      </c>
      <c r="AH90" s="106">
        <f t="shared" si="51"/>
        <v>-0.157691843796376</v>
      </c>
      <c r="AI90" s="107">
        <f t="shared" si="62"/>
        <v>-0.107815127998946</v>
      </c>
      <c r="AJ90" s="105">
        <f t="shared" si="63"/>
        <v>0.553333333333333</v>
      </c>
      <c r="AK90" s="106">
        <f t="shared" si="64"/>
        <v>1.45366996316357</v>
      </c>
      <c r="AL90" s="106">
        <f t="shared" si="65"/>
        <v>0.179833333333333</v>
      </c>
      <c r="AM90" s="106">
        <f t="shared" si="52"/>
        <v>0</v>
      </c>
      <c r="AN90" s="107">
        <f t="shared" si="66"/>
        <v>0.179833333333333</v>
      </c>
      <c r="AO90" s="105">
        <f t="shared" si="53"/>
        <v>0.0767334089191232</v>
      </c>
      <c r="AP90" s="106">
        <f t="shared" si="54"/>
        <v>0.1512</v>
      </c>
      <c r="AQ90" s="107">
        <f t="shared" si="67"/>
        <v>0.0132</v>
      </c>
      <c r="AR90" s="105">
        <f t="shared" si="68"/>
        <v>0.313151614253511</v>
      </c>
      <c r="AS90" s="106">
        <f t="shared" si="69"/>
        <v>11.0666666666667</v>
      </c>
      <c r="AT90" s="107">
        <f t="shared" si="70"/>
        <v>97.2481844039764</v>
      </c>
    </row>
    <row r="91" spans="17:46">
      <c r="Q91">
        <v>84</v>
      </c>
      <c r="R91" s="105">
        <f t="shared" si="43"/>
        <v>20</v>
      </c>
      <c r="S91" s="106">
        <f t="shared" si="44"/>
        <v>0.56</v>
      </c>
      <c r="T91" s="106">
        <f t="shared" si="45"/>
        <v>4</v>
      </c>
      <c r="U91" s="107">
        <f t="shared" si="46"/>
        <v>2.8</v>
      </c>
      <c r="V91" s="105">
        <f t="shared" si="47"/>
        <v>2</v>
      </c>
      <c r="W91" s="106">
        <f t="shared" si="48"/>
        <v>0.833333333333333</v>
      </c>
      <c r="X91" s="107">
        <f t="shared" si="49"/>
        <v>0.166666666666667</v>
      </c>
      <c r="Y91" s="105">
        <f t="shared" si="55"/>
        <v>0.476190476190476</v>
      </c>
      <c r="Z91" s="106">
        <f t="shared" si="56"/>
        <v>3.83619047619048</v>
      </c>
      <c r="AA91" s="106">
        <f t="shared" si="57"/>
        <v>2.80337233479035</v>
      </c>
      <c r="AB91" s="106">
        <v>0</v>
      </c>
      <c r="AC91" s="106">
        <f t="shared" si="58"/>
        <v>0.0785889644746788</v>
      </c>
      <c r="AD91" s="107">
        <f t="shared" si="59"/>
        <v>0.0785889644746788</v>
      </c>
      <c r="AE91" s="105">
        <f t="shared" si="60"/>
        <v>1.30666666666667</v>
      </c>
      <c r="AF91" s="106">
        <f t="shared" si="61"/>
        <v>2.80337233479035</v>
      </c>
      <c r="AG91" s="106">
        <f t="shared" si="50"/>
        <v>0.0510828269085412</v>
      </c>
      <c r="AH91" s="106">
        <f t="shared" si="51"/>
        <v>-0.159591745528862</v>
      </c>
      <c r="AI91" s="107">
        <f t="shared" si="62"/>
        <v>-0.108508918620321</v>
      </c>
      <c r="AJ91" s="105">
        <f t="shared" si="63"/>
        <v>0.56</v>
      </c>
      <c r="AK91" s="106">
        <f t="shared" si="64"/>
        <v>1.46998785651852</v>
      </c>
      <c r="AL91" s="106">
        <f t="shared" si="65"/>
        <v>0.182</v>
      </c>
      <c r="AM91" s="106">
        <f t="shared" si="52"/>
        <v>0</v>
      </c>
      <c r="AN91" s="107">
        <f t="shared" si="66"/>
        <v>0.182</v>
      </c>
      <c r="AO91" s="105">
        <f t="shared" si="53"/>
        <v>0.0785889644746788</v>
      </c>
      <c r="AP91" s="106">
        <f t="shared" si="54"/>
        <v>0.1512</v>
      </c>
      <c r="AQ91" s="107">
        <f t="shared" si="67"/>
        <v>0.0132</v>
      </c>
      <c r="AR91" s="105">
        <f t="shared" si="68"/>
        <v>0.316480045854358</v>
      </c>
      <c r="AS91" s="106">
        <f t="shared" si="69"/>
        <v>11.2</v>
      </c>
      <c r="AT91" s="107">
        <f t="shared" si="70"/>
        <v>97.2519377049736</v>
      </c>
    </row>
    <row r="92" spans="17:46">
      <c r="Q92">
        <v>85</v>
      </c>
      <c r="R92" s="105">
        <f t="shared" si="43"/>
        <v>20</v>
      </c>
      <c r="S92" s="106">
        <f t="shared" si="44"/>
        <v>0.566666666666667</v>
      </c>
      <c r="T92" s="106">
        <f t="shared" si="45"/>
        <v>4</v>
      </c>
      <c r="U92" s="107">
        <f t="shared" si="46"/>
        <v>2.83333333333333</v>
      </c>
      <c r="V92" s="105">
        <f t="shared" si="47"/>
        <v>2</v>
      </c>
      <c r="W92" s="106">
        <f t="shared" si="48"/>
        <v>0.833333333333333</v>
      </c>
      <c r="X92" s="107">
        <f t="shared" si="49"/>
        <v>0.166666666666667</v>
      </c>
      <c r="Y92" s="105">
        <f t="shared" si="55"/>
        <v>0.476190476190476</v>
      </c>
      <c r="Z92" s="106">
        <f t="shared" si="56"/>
        <v>3.87619047619048</v>
      </c>
      <c r="AA92" s="106">
        <f t="shared" si="57"/>
        <v>2.83666604048585</v>
      </c>
      <c r="AB92" s="106">
        <v>0</v>
      </c>
      <c r="AC92" s="106">
        <f t="shared" si="58"/>
        <v>0.0804667422524565</v>
      </c>
      <c r="AD92" s="107">
        <f t="shared" si="59"/>
        <v>0.0804667422524565</v>
      </c>
      <c r="AE92" s="105">
        <f t="shared" si="60"/>
        <v>1.33796296296296</v>
      </c>
      <c r="AF92" s="106">
        <f t="shared" si="61"/>
        <v>2.83666604048585</v>
      </c>
      <c r="AG92" s="106">
        <f t="shared" si="50"/>
        <v>0.0523033824640967</v>
      </c>
      <c r="AH92" s="106">
        <f t="shared" si="51"/>
        <v>-0.161491647261349</v>
      </c>
      <c r="AI92" s="107">
        <f t="shared" si="62"/>
        <v>-0.109188264797252</v>
      </c>
      <c r="AJ92" s="105">
        <f t="shared" si="63"/>
        <v>0.566666666666667</v>
      </c>
      <c r="AK92" s="106">
        <f t="shared" si="64"/>
        <v>1.48630601430297</v>
      </c>
      <c r="AL92" s="106">
        <f t="shared" si="65"/>
        <v>0.184166666666667</v>
      </c>
      <c r="AM92" s="106">
        <f t="shared" si="52"/>
        <v>0</v>
      </c>
      <c r="AN92" s="107">
        <f t="shared" si="66"/>
        <v>0.184166666666667</v>
      </c>
      <c r="AO92" s="105">
        <f t="shared" si="53"/>
        <v>0.0804667422524565</v>
      </c>
      <c r="AP92" s="106">
        <f t="shared" si="54"/>
        <v>0.1512</v>
      </c>
      <c r="AQ92" s="107">
        <f t="shared" si="67"/>
        <v>0.0132</v>
      </c>
      <c r="AR92" s="105">
        <f t="shared" si="68"/>
        <v>0.319845144121871</v>
      </c>
      <c r="AS92" s="106">
        <f t="shared" si="69"/>
        <v>11.3333333333333</v>
      </c>
      <c r="AT92" s="107">
        <f t="shared" si="70"/>
        <v>97.2552969583306</v>
      </c>
    </row>
    <row r="93" spans="17:46">
      <c r="Q93">
        <v>86</v>
      </c>
      <c r="R93" s="105">
        <f t="shared" si="43"/>
        <v>20</v>
      </c>
      <c r="S93" s="106">
        <f t="shared" si="44"/>
        <v>0.573333333333333</v>
      </c>
      <c r="T93" s="106">
        <f t="shared" si="45"/>
        <v>4</v>
      </c>
      <c r="U93" s="107">
        <f t="shared" si="46"/>
        <v>2.86666666666667</v>
      </c>
      <c r="V93" s="105">
        <f t="shared" si="47"/>
        <v>2</v>
      </c>
      <c r="W93" s="106">
        <f t="shared" si="48"/>
        <v>0.833333333333333</v>
      </c>
      <c r="X93" s="107">
        <f t="shared" si="49"/>
        <v>0.166666666666667</v>
      </c>
      <c r="Y93" s="105">
        <f t="shared" si="55"/>
        <v>0.476190476190476</v>
      </c>
      <c r="Z93" s="106">
        <f t="shared" si="56"/>
        <v>3.91619047619048</v>
      </c>
      <c r="AA93" s="106">
        <f t="shared" si="57"/>
        <v>2.86996066614956</v>
      </c>
      <c r="AB93" s="106">
        <v>0</v>
      </c>
      <c r="AC93" s="106">
        <f t="shared" si="58"/>
        <v>0.0823667422524565</v>
      </c>
      <c r="AD93" s="107">
        <f t="shared" si="59"/>
        <v>0.0823667422524565</v>
      </c>
      <c r="AE93" s="105">
        <f t="shared" si="60"/>
        <v>1.36962962962963</v>
      </c>
      <c r="AF93" s="106">
        <f t="shared" si="61"/>
        <v>2.86996066614956</v>
      </c>
      <c r="AG93" s="106">
        <f t="shared" si="50"/>
        <v>0.0535383824640967</v>
      </c>
      <c r="AH93" s="106">
        <f t="shared" si="51"/>
        <v>-0.163391548993835</v>
      </c>
      <c r="AI93" s="107">
        <f t="shared" si="62"/>
        <v>-0.109853166529738</v>
      </c>
      <c r="AJ93" s="105">
        <f t="shared" si="63"/>
        <v>0.573333333333333</v>
      </c>
      <c r="AK93" s="106">
        <f t="shared" si="64"/>
        <v>1.50262442790199</v>
      </c>
      <c r="AL93" s="106">
        <f t="shared" si="65"/>
        <v>0.186333333333333</v>
      </c>
      <c r="AM93" s="106">
        <f t="shared" si="52"/>
        <v>0</v>
      </c>
      <c r="AN93" s="107">
        <f t="shared" si="66"/>
        <v>0.186333333333333</v>
      </c>
      <c r="AO93" s="105">
        <f t="shared" si="53"/>
        <v>0.0823667422524565</v>
      </c>
      <c r="AP93" s="106">
        <f t="shared" si="54"/>
        <v>0.1512</v>
      </c>
      <c r="AQ93" s="107">
        <f t="shared" si="67"/>
        <v>0.0132</v>
      </c>
      <c r="AR93" s="105">
        <f t="shared" si="68"/>
        <v>0.323246909056052</v>
      </c>
      <c r="AS93" s="106">
        <f t="shared" si="69"/>
        <v>11.4666666666667</v>
      </c>
      <c r="AT93" s="107">
        <f t="shared" si="70"/>
        <v>97.2582758390895</v>
      </c>
    </row>
    <row r="94" spans="17:46">
      <c r="Q94">
        <v>87</v>
      </c>
      <c r="R94" s="105">
        <f t="shared" si="43"/>
        <v>20</v>
      </c>
      <c r="S94" s="106">
        <f t="shared" si="44"/>
        <v>0.58</v>
      </c>
      <c r="T94" s="106">
        <f t="shared" si="45"/>
        <v>4</v>
      </c>
      <c r="U94" s="107">
        <f t="shared" si="46"/>
        <v>2.9</v>
      </c>
      <c r="V94" s="105">
        <f t="shared" si="47"/>
        <v>2</v>
      </c>
      <c r="W94" s="106">
        <f t="shared" si="48"/>
        <v>0.833333333333333</v>
      </c>
      <c r="X94" s="107">
        <f t="shared" si="49"/>
        <v>0.166666666666667</v>
      </c>
      <c r="Y94" s="105">
        <f t="shared" si="55"/>
        <v>0.476190476190476</v>
      </c>
      <c r="Z94" s="106">
        <f t="shared" si="56"/>
        <v>3.95619047619048</v>
      </c>
      <c r="AA94" s="106">
        <f t="shared" si="57"/>
        <v>2.90325618013083</v>
      </c>
      <c r="AB94" s="106">
        <v>0</v>
      </c>
      <c r="AC94" s="106">
        <f t="shared" si="58"/>
        <v>0.0842889644746788</v>
      </c>
      <c r="AD94" s="107">
        <f t="shared" si="59"/>
        <v>0.0842889644746788</v>
      </c>
      <c r="AE94" s="105">
        <f t="shared" si="60"/>
        <v>1.40166666666667</v>
      </c>
      <c r="AF94" s="106">
        <f t="shared" si="61"/>
        <v>2.90325618013083</v>
      </c>
      <c r="AG94" s="106">
        <f t="shared" si="50"/>
        <v>0.0547878269085412</v>
      </c>
      <c r="AH94" s="106">
        <f t="shared" si="51"/>
        <v>-0.165291450726322</v>
      </c>
      <c r="AI94" s="107">
        <f t="shared" si="62"/>
        <v>-0.11050362381778</v>
      </c>
      <c r="AJ94" s="105">
        <f t="shared" si="63"/>
        <v>0.58</v>
      </c>
      <c r="AK94" s="106">
        <f t="shared" si="64"/>
        <v>1.51894308907073</v>
      </c>
      <c r="AL94" s="106">
        <f t="shared" si="65"/>
        <v>0.1885</v>
      </c>
      <c r="AM94" s="106">
        <f t="shared" si="52"/>
        <v>0</v>
      </c>
      <c r="AN94" s="107">
        <f t="shared" si="66"/>
        <v>0.1885</v>
      </c>
      <c r="AO94" s="105">
        <f t="shared" si="53"/>
        <v>0.0842889644746788</v>
      </c>
      <c r="AP94" s="106">
        <f t="shared" si="54"/>
        <v>0.1512</v>
      </c>
      <c r="AQ94" s="107">
        <f t="shared" si="67"/>
        <v>0.0132</v>
      </c>
      <c r="AR94" s="105">
        <f t="shared" si="68"/>
        <v>0.326685340656898</v>
      </c>
      <c r="AS94" s="106">
        <f t="shared" si="69"/>
        <v>11.6</v>
      </c>
      <c r="AT94" s="107">
        <f t="shared" si="70"/>
        <v>97.2608874022755</v>
      </c>
    </row>
    <row r="95" spans="17:46">
      <c r="Q95">
        <v>88</v>
      </c>
      <c r="R95" s="105">
        <f t="shared" si="43"/>
        <v>20</v>
      </c>
      <c r="S95" s="106">
        <f t="shared" si="44"/>
        <v>0.586666666666667</v>
      </c>
      <c r="T95" s="106">
        <f t="shared" si="45"/>
        <v>4</v>
      </c>
      <c r="U95" s="107">
        <f t="shared" si="46"/>
        <v>2.93333333333333</v>
      </c>
      <c r="V95" s="105">
        <f t="shared" si="47"/>
        <v>2</v>
      </c>
      <c r="W95" s="106">
        <f t="shared" si="48"/>
        <v>0.833333333333333</v>
      </c>
      <c r="X95" s="107">
        <f t="shared" si="49"/>
        <v>0.166666666666667</v>
      </c>
      <c r="Y95" s="105">
        <f t="shared" si="55"/>
        <v>0.476190476190476</v>
      </c>
      <c r="Z95" s="106">
        <f t="shared" si="56"/>
        <v>3.99619047619048</v>
      </c>
      <c r="AA95" s="106">
        <f t="shared" si="57"/>
        <v>2.93655255221362</v>
      </c>
      <c r="AB95" s="106">
        <v>0</v>
      </c>
      <c r="AC95" s="106">
        <f t="shared" si="58"/>
        <v>0.0862334089191232</v>
      </c>
      <c r="AD95" s="107">
        <f t="shared" si="59"/>
        <v>0.0862334089191232</v>
      </c>
      <c r="AE95" s="105">
        <f t="shared" si="60"/>
        <v>1.43407407407407</v>
      </c>
      <c r="AF95" s="106">
        <f t="shared" si="61"/>
        <v>2.93655255221362</v>
      </c>
      <c r="AG95" s="106">
        <f t="shared" si="50"/>
        <v>0.0560517157974301</v>
      </c>
      <c r="AH95" s="106">
        <f t="shared" si="51"/>
        <v>-0.167191352458808</v>
      </c>
      <c r="AI95" s="107">
        <f t="shared" si="62"/>
        <v>-0.111139636661378</v>
      </c>
      <c r="AJ95" s="105">
        <f t="shared" si="63"/>
        <v>0.586666666666667</v>
      </c>
      <c r="AK95" s="106">
        <f t="shared" si="64"/>
        <v>1.53526198991475</v>
      </c>
      <c r="AL95" s="106">
        <f t="shared" si="65"/>
        <v>0.190666666666667</v>
      </c>
      <c r="AM95" s="106">
        <f t="shared" si="52"/>
        <v>0</v>
      </c>
      <c r="AN95" s="107">
        <f t="shared" si="66"/>
        <v>0.190666666666667</v>
      </c>
      <c r="AO95" s="105">
        <f t="shared" si="53"/>
        <v>0.0862334089191232</v>
      </c>
      <c r="AP95" s="106">
        <f t="shared" si="54"/>
        <v>0.1512</v>
      </c>
      <c r="AQ95" s="107">
        <f t="shared" si="67"/>
        <v>0.0132</v>
      </c>
      <c r="AR95" s="105">
        <f t="shared" si="68"/>
        <v>0.330160438924412</v>
      </c>
      <c r="AS95" s="106">
        <f t="shared" si="69"/>
        <v>11.7333333333333</v>
      </c>
      <c r="AT95" s="107">
        <f t="shared" si="70"/>
        <v>97.263144117638</v>
      </c>
    </row>
    <row r="96" spans="17:46">
      <c r="Q96">
        <v>89</v>
      </c>
      <c r="R96" s="105">
        <f t="shared" si="43"/>
        <v>20</v>
      </c>
      <c r="S96" s="106">
        <f t="shared" si="44"/>
        <v>0.593333333333333</v>
      </c>
      <c r="T96" s="106">
        <f t="shared" si="45"/>
        <v>4</v>
      </c>
      <c r="U96" s="107">
        <f t="shared" si="46"/>
        <v>2.96666666666667</v>
      </c>
      <c r="V96" s="105">
        <f t="shared" si="47"/>
        <v>2</v>
      </c>
      <c r="W96" s="106">
        <f t="shared" si="48"/>
        <v>0.833333333333333</v>
      </c>
      <c r="X96" s="107">
        <f t="shared" si="49"/>
        <v>0.166666666666667</v>
      </c>
      <c r="Y96" s="105">
        <f t="shared" si="55"/>
        <v>0.476190476190476</v>
      </c>
      <c r="Z96" s="106">
        <f t="shared" si="56"/>
        <v>4.03619047619048</v>
      </c>
      <c r="AA96" s="106">
        <f t="shared" si="57"/>
        <v>2.96984975353619</v>
      </c>
      <c r="AB96" s="106">
        <v>0</v>
      </c>
      <c r="AC96" s="106">
        <f t="shared" si="58"/>
        <v>0.0882000755857899</v>
      </c>
      <c r="AD96" s="107">
        <f t="shared" si="59"/>
        <v>0.0882000755857899</v>
      </c>
      <c r="AE96" s="105">
        <f t="shared" si="60"/>
        <v>1.46685185185185</v>
      </c>
      <c r="AF96" s="106">
        <f t="shared" si="61"/>
        <v>2.96984975353619</v>
      </c>
      <c r="AG96" s="106">
        <f t="shared" si="50"/>
        <v>0.0573300491307634</v>
      </c>
      <c r="AH96" s="106">
        <f t="shared" si="51"/>
        <v>-0.169091254191294</v>
      </c>
      <c r="AI96" s="107">
        <f t="shared" si="62"/>
        <v>-0.111761205060531</v>
      </c>
      <c r="AJ96" s="105">
        <f t="shared" si="63"/>
        <v>0.593333333333333</v>
      </c>
      <c r="AK96" s="106">
        <f t="shared" si="64"/>
        <v>1.55158112287163</v>
      </c>
      <c r="AL96" s="106">
        <f t="shared" si="65"/>
        <v>0.192833333333333</v>
      </c>
      <c r="AM96" s="106">
        <f t="shared" si="52"/>
        <v>0</v>
      </c>
      <c r="AN96" s="107">
        <f t="shared" si="66"/>
        <v>0.192833333333333</v>
      </c>
      <c r="AO96" s="105">
        <f t="shared" si="53"/>
        <v>0.0882000755857899</v>
      </c>
      <c r="AP96" s="106">
        <f t="shared" si="54"/>
        <v>0.1512</v>
      </c>
      <c r="AQ96" s="107">
        <f t="shared" si="67"/>
        <v>0.0132</v>
      </c>
      <c r="AR96" s="105">
        <f t="shared" si="68"/>
        <v>0.333672203858592</v>
      </c>
      <c r="AS96" s="106">
        <f t="shared" si="69"/>
        <v>11.8666666666667</v>
      </c>
      <c r="AT96" s="107">
        <f t="shared" si="70"/>
        <v>97.2650579020825</v>
      </c>
    </row>
    <row r="97" spans="17:46">
      <c r="Q97">
        <v>90</v>
      </c>
      <c r="R97" s="105">
        <f t="shared" si="43"/>
        <v>20</v>
      </c>
      <c r="S97" s="106">
        <f t="shared" si="44"/>
        <v>0.6</v>
      </c>
      <c r="T97" s="106">
        <f t="shared" si="45"/>
        <v>4</v>
      </c>
      <c r="U97" s="107">
        <f t="shared" si="46"/>
        <v>3</v>
      </c>
      <c r="V97" s="105">
        <f t="shared" si="47"/>
        <v>2</v>
      </c>
      <c r="W97" s="106">
        <f t="shared" si="48"/>
        <v>0.833333333333333</v>
      </c>
      <c r="X97" s="107">
        <f t="shared" si="49"/>
        <v>0.166666666666667</v>
      </c>
      <c r="Y97" s="105">
        <f t="shared" si="55"/>
        <v>0.476190476190476</v>
      </c>
      <c r="Z97" s="106">
        <f t="shared" si="56"/>
        <v>4.07619047619048</v>
      </c>
      <c r="AA97" s="106">
        <f t="shared" si="57"/>
        <v>3.00314775651613</v>
      </c>
      <c r="AB97" s="106">
        <v>0</v>
      </c>
      <c r="AC97" s="106">
        <f t="shared" si="58"/>
        <v>0.0901889644746788</v>
      </c>
      <c r="AD97" s="107">
        <f t="shared" si="59"/>
        <v>0.0901889644746788</v>
      </c>
      <c r="AE97" s="105">
        <f t="shared" si="60"/>
        <v>1.5</v>
      </c>
      <c r="AF97" s="106">
        <f t="shared" si="61"/>
        <v>3.00314775651613</v>
      </c>
      <c r="AG97" s="106">
        <f t="shared" si="50"/>
        <v>0.0586228269085412</v>
      </c>
      <c r="AH97" s="106">
        <f t="shared" si="51"/>
        <v>-0.170991155923781</v>
      </c>
      <c r="AI97" s="107">
        <f t="shared" si="62"/>
        <v>-0.11236832901524</v>
      </c>
      <c r="AJ97" s="105">
        <f t="shared" si="63"/>
        <v>0.6</v>
      </c>
      <c r="AK97" s="106">
        <f t="shared" si="64"/>
        <v>1.5679004806937</v>
      </c>
      <c r="AL97" s="106">
        <f t="shared" si="65"/>
        <v>0.195</v>
      </c>
      <c r="AM97" s="106">
        <f t="shared" si="52"/>
        <v>0</v>
      </c>
      <c r="AN97" s="107">
        <f t="shared" si="66"/>
        <v>0.195</v>
      </c>
      <c r="AO97" s="105">
        <f t="shared" si="53"/>
        <v>0.0901889644746788</v>
      </c>
      <c r="AP97" s="106">
        <f t="shared" si="54"/>
        <v>0.1512</v>
      </c>
      <c r="AQ97" s="107">
        <f t="shared" si="67"/>
        <v>0.0132</v>
      </c>
      <c r="AR97" s="105">
        <f t="shared" si="68"/>
        <v>0.337220635459439</v>
      </c>
      <c r="AS97" s="106">
        <f t="shared" si="69"/>
        <v>12</v>
      </c>
      <c r="AT97" s="107">
        <f t="shared" si="70"/>
        <v>97.2666401499686</v>
      </c>
    </row>
    <row r="98" spans="17:46">
      <c r="Q98">
        <v>91</v>
      </c>
      <c r="R98" s="105">
        <f t="shared" si="43"/>
        <v>20</v>
      </c>
      <c r="S98" s="106">
        <f t="shared" si="44"/>
        <v>0.606666666666667</v>
      </c>
      <c r="T98" s="106">
        <f t="shared" si="45"/>
        <v>4</v>
      </c>
      <c r="U98" s="107">
        <f t="shared" si="46"/>
        <v>3.03333333333333</v>
      </c>
      <c r="V98" s="105">
        <f t="shared" si="47"/>
        <v>2</v>
      </c>
      <c r="W98" s="106">
        <f t="shared" si="48"/>
        <v>0.833333333333333</v>
      </c>
      <c r="X98" s="107">
        <f t="shared" si="49"/>
        <v>0.166666666666667</v>
      </c>
      <c r="Y98" s="105">
        <f t="shared" si="55"/>
        <v>0.476190476190476</v>
      </c>
      <c r="Z98" s="106">
        <f t="shared" si="56"/>
        <v>4.11619047619048</v>
      </c>
      <c r="AA98" s="106">
        <f t="shared" si="57"/>
        <v>3.03644653478025</v>
      </c>
      <c r="AB98" s="106">
        <v>0</v>
      </c>
      <c r="AC98" s="106">
        <f t="shared" si="58"/>
        <v>0.0922000755857899</v>
      </c>
      <c r="AD98" s="107">
        <f t="shared" si="59"/>
        <v>0.0922000755857899</v>
      </c>
      <c r="AE98" s="105">
        <f t="shared" si="60"/>
        <v>1.53351851851852</v>
      </c>
      <c r="AF98" s="106">
        <f t="shared" si="61"/>
        <v>3.03644653478025</v>
      </c>
      <c r="AG98" s="106">
        <f t="shared" si="50"/>
        <v>0.0599300491307634</v>
      </c>
      <c r="AH98" s="106">
        <f t="shared" si="51"/>
        <v>-0.172891057656267</v>
      </c>
      <c r="AI98" s="107">
        <f t="shared" si="62"/>
        <v>-0.112961008525504</v>
      </c>
      <c r="AJ98" s="105">
        <f t="shared" si="63"/>
        <v>0.606666666666667</v>
      </c>
      <c r="AK98" s="106">
        <f t="shared" si="64"/>
        <v>1.58422005643181</v>
      </c>
      <c r="AL98" s="106">
        <f t="shared" si="65"/>
        <v>0.197166666666667</v>
      </c>
      <c r="AM98" s="106">
        <f t="shared" si="52"/>
        <v>0</v>
      </c>
      <c r="AN98" s="107">
        <f t="shared" si="66"/>
        <v>0.197166666666667</v>
      </c>
      <c r="AO98" s="105">
        <f t="shared" si="53"/>
        <v>0.0922000755857899</v>
      </c>
      <c r="AP98" s="106">
        <f t="shared" si="54"/>
        <v>0.1512</v>
      </c>
      <c r="AQ98" s="107">
        <f t="shared" si="67"/>
        <v>0.0132</v>
      </c>
      <c r="AR98" s="105">
        <f t="shared" si="68"/>
        <v>0.340805733726953</v>
      </c>
      <c r="AS98" s="106">
        <f t="shared" si="69"/>
        <v>12.1333333333333</v>
      </c>
      <c r="AT98" s="107">
        <f t="shared" si="70"/>
        <v>97.2679017614378</v>
      </c>
    </row>
    <row r="99" spans="17:46">
      <c r="Q99">
        <v>92</v>
      </c>
      <c r="R99" s="105">
        <f t="shared" si="43"/>
        <v>20</v>
      </c>
      <c r="S99" s="106">
        <f t="shared" si="44"/>
        <v>0.613333333333333</v>
      </c>
      <c r="T99" s="106">
        <f t="shared" si="45"/>
        <v>4</v>
      </c>
      <c r="U99" s="107">
        <f t="shared" si="46"/>
        <v>3.06666666666667</v>
      </c>
      <c r="V99" s="105">
        <f t="shared" si="47"/>
        <v>2</v>
      </c>
      <c r="W99" s="106">
        <f t="shared" si="48"/>
        <v>0.833333333333333</v>
      </c>
      <c r="X99" s="107">
        <f t="shared" si="49"/>
        <v>0.166666666666667</v>
      </c>
      <c r="Y99" s="105">
        <f t="shared" si="55"/>
        <v>0.476190476190476</v>
      </c>
      <c r="Z99" s="106">
        <f t="shared" si="56"/>
        <v>4.15619047619048</v>
      </c>
      <c r="AA99" s="106">
        <f t="shared" si="57"/>
        <v>3.06974606309908</v>
      </c>
      <c r="AB99" s="106">
        <v>0</v>
      </c>
      <c r="AC99" s="106">
        <f t="shared" si="58"/>
        <v>0.0942334089191232</v>
      </c>
      <c r="AD99" s="107">
        <f t="shared" si="59"/>
        <v>0.0942334089191232</v>
      </c>
      <c r="AE99" s="105">
        <f t="shared" si="60"/>
        <v>1.56740740740741</v>
      </c>
      <c r="AF99" s="106">
        <f t="shared" si="61"/>
        <v>3.06974606309908</v>
      </c>
      <c r="AG99" s="106">
        <f t="shared" si="50"/>
        <v>0.0612517157974301</v>
      </c>
      <c r="AH99" s="106">
        <f t="shared" si="51"/>
        <v>-0.174790959388754</v>
      </c>
      <c r="AI99" s="107">
        <f t="shared" si="62"/>
        <v>-0.113539243591324</v>
      </c>
      <c r="AJ99" s="105">
        <f t="shared" si="63"/>
        <v>0.613333333333333</v>
      </c>
      <c r="AK99" s="106">
        <f t="shared" si="64"/>
        <v>1.60053984342015</v>
      </c>
      <c r="AL99" s="106">
        <f t="shared" si="65"/>
        <v>0.199333333333333</v>
      </c>
      <c r="AM99" s="106">
        <f t="shared" si="52"/>
        <v>0</v>
      </c>
      <c r="AN99" s="107">
        <f t="shared" si="66"/>
        <v>0.199333333333333</v>
      </c>
      <c r="AO99" s="105">
        <f t="shared" si="53"/>
        <v>0.0942334089191232</v>
      </c>
      <c r="AP99" s="106">
        <f t="shared" si="54"/>
        <v>0.1512</v>
      </c>
      <c r="AQ99" s="107">
        <f t="shared" si="67"/>
        <v>0.0132</v>
      </c>
      <c r="AR99" s="105">
        <f t="shared" si="68"/>
        <v>0.344427498661133</v>
      </c>
      <c r="AS99" s="106">
        <f t="shared" si="69"/>
        <v>12.2666666666667</v>
      </c>
      <c r="AT99" s="107">
        <f t="shared" si="70"/>
        <v>97.2688531689179</v>
      </c>
    </row>
    <row r="100" spans="17:46">
      <c r="Q100">
        <v>93</v>
      </c>
      <c r="R100" s="105">
        <f t="shared" si="43"/>
        <v>20</v>
      </c>
      <c r="S100" s="106">
        <f t="shared" si="44"/>
        <v>0.62</v>
      </c>
      <c r="T100" s="106">
        <f t="shared" si="45"/>
        <v>4</v>
      </c>
      <c r="U100" s="107">
        <f t="shared" si="46"/>
        <v>3.1</v>
      </c>
      <c r="V100" s="105">
        <f t="shared" si="47"/>
        <v>2</v>
      </c>
      <c r="W100" s="106">
        <f t="shared" si="48"/>
        <v>0.833333333333333</v>
      </c>
      <c r="X100" s="107">
        <f t="shared" si="49"/>
        <v>0.166666666666667</v>
      </c>
      <c r="Y100" s="105">
        <f t="shared" si="55"/>
        <v>0.476190476190476</v>
      </c>
      <c r="Z100" s="106">
        <f t="shared" si="56"/>
        <v>4.19619047619048</v>
      </c>
      <c r="AA100" s="106">
        <f t="shared" si="57"/>
        <v>3.10304631732559</v>
      </c>
      <c r="AB100" s="106">
        <v>0</v>
      </c>
      <c r="AC100" s="106">
        <f t="shared" si="58"/>
        <v>0.0962889644746788</v>
      </c>
      <c r="AD100" s="107">
        <f t="shared" si="59"/>
        <v>0.0962889644746788</v>
      </c>
      <c r="AE100" s="105">
        <f t="shared" si="60"/>
        <v>1.60166666666667</v>
      </c>
      <c r="AF100" s="106">
        <f t="shared" si="61"/>
        <v>3.10304631732559</v>
      </c>
      <c r="AG100" s="106">
        <f t="shared" si="50"/>
        <v>0.0625878269085412</v>
      </c>
      <c r="AH100" s="106">
        <f t="shared" si="51"/>
        <v>-0.17669086112124</v>
      </c>
      <c r="AI100" s="107">
        <f t="shared" si="62"/>
        <v>-0.114103034212699</v>
      </c>
      <c r="AJ100" s="105">
        <f t="shared" si="63"/>
        <v>0.62</v>
      </c>
      <c r="AK100" s="106">
        <f t="shared" si="64"/>
        <v>1.61685983526196</v>
      </c>
      <c r="AL100" s="106">
        <f t="shared" si="65"/>
        <v>0.2015</v>
      </c>
      <c r="AM100" s="106">
        <f t="shared" si="52"/>
        <v>0</v>
      </c>
      <c r="AN100" s="107">
        <f t="shared" si="66"/>
        <v>0.2015</v>
      </c>
      <c r="AO100" s="105">
        <f t="shared" si="53"/>
        <v>0.0962889644746788</v>
      </c>
      <c r="AP100" s="106">
        <f t="shared" si="54"/>
        <v>0.1512</v>
      </c>
      <c r="AQ100" s="107">
        <f t="shared" si="67"/>
        <v>0.0132</v>
      </c>
      <c r="AR100" s="105">
        <f t="shared" si="68"/>
        <v>0.34808593026198</v>
      </c>
      <c r="AS100" s="106">
        <f t="shared" si="69"/>
        <v>12.4</v>
      </c>
      <c r="AT100" s="107">
        <f t="shared" si="70"/>
        <v>97.2695043619397</v>
      </c>
    </row>
    <row r="101" spans="17:46">
      <c r="Q101">
        <v>94</v>
      </c>
      <c r="R101" s="105">
        <f t="shared" si="43"/>
        <v>20</v>
      </c>
      <c r="S101" s="106">
        <f t="shared" si="44"/>
        <v>0.626666666666667</v>
      </c>
      <c r="T101" s="106">
        <f t="shared" si="45"/>
        <v>4</v>
      </c>
      <c r="U101" s="107">
        <f t="shared" si="46"/>
        <v>3.13333333333333</v>
      </c>
      <c r="V101" s="105">
        <f t="shared" si="47"/>
        <v>2</v>
      </c>
      <c r="W101" s="106">
        <f t="shared" si="48"/>
        <v>0.833333333333333</v>
      </c>
      <c r="X101" s="107">
        <f t="shared" si="49"/>
        <v>0.166666666666667</v>
      </c>
      <c r="Y101" s="105">
        <f t="shared" si="55"/>
        <v>0.476190476190476</v>
      </c>
      <c r="Z101" s="106">
        <f t="shared" si="56"/>
        <v>4.23619047619048</v>
      </c>
      <c r="AA101" s="106">
        <f t="shared" si="57"/>
        <v>3.13634727433772</v>
      </c>
      <c r="AB101" s="106">
        <v>0</v>
      </c>
      <c r="AC101" s="106">
        <f t="shared" si="58"/>
        <v>0.0983667422524566</v>
      </c>
      <c r="AD101" s="107">
        <f t="shared" si="59"/>
        <v>0.0983667422524566</v>
      </c>
      <c r="AE101" s="105">
        <f t="shared" si="60"/>
        <v>1.6362962962963</v>
      </c>
      <c r="AF101" s="106">
        <f t="shared" si="61"/>
        <v>3.13634727433772</v>
      </c>
      <c r="AG101" s="106">
        <f t="shared" si="50"/>
        <v>0.0639383824640968</v>
      </c>
      <c r="AH101" s="106">
        <f t="shared" si="51"/>
        <v>-0.178590762853727</v>
      </c>
      <c r="AI101" s="107">
        <f t="shared" si="62"/>
        <v>-0.11465238038963</v>
      </c>
      <c r="AJ101" s="105">
        <f t="shared" si="63"/>
        <v>0.626666666666667</v>
      </c>
      <c r="AK101" s="106">
        <f t="shared" si="64"/>
        <v>1.63318002581608</v>
      </c>
      <c r="AL101" s="106">
        <f t="shared" si="65"/>
        <v>0.203666666666667</v>
      </c>
      <c r="AM101" s="106">
        <f t="shared" si="52"/>
        <v>0</v>
      </c>
      <c r="AN101" s="107">
        <f t="shared" si="66"/>
        <v>0.203666666666667</v>
      </c>
      <c r="AO101" s="105">
        <f t="shared" si="53"/>
        <v>0.0983667422524566</v>
      </c>
      <c r="AP101" s="106">
        <f t="shared" si="54"/>
        <v>0.1512</v>
      </c>
      <c r="AQ101" s="107">
        <f t="shared" si="67"/>
        <v>0.0132</v>
      </c>
      <c r="AR101" s="105">
        <f t="shared" si="68"/>
        <v>0.351781028529493</v>
      </c>
      <c r="AS101" s="106">
        <f t="shared" si="69"/>
        <v>12.5333333333333</v>
      </c>
      <c r="AT101" s="107">
        <f t="shared" si="70"/>
        <v>97.2698649103908</v>
      </c>
    </row>
    <row r="102" spans="17:46">
      <c r="Q102">
        <v>95</v>
      </c>
      <c r="R102" s="105">
        <f t="shared" si="43"/>
        <v>20</v>
      </c>
      <c r="S102" s="106">
        <f t="shared" si="44"/>
        <v>0.633333333333333</v>
      </c>
      <c r="T102" s="106">
        <f t="shared" si="45"/>
        <v>4</v>
      </c>
      <c r="U102" s="107">
        <f t="shared" si="46"/>
        <v>3.16666666666667</v>
      </c>
      <c r="V102" s="105">
        <f t="shared" si="47"/>
        <v>2</v>
      </c>
      <c r="W102" s="106">
        <f t="shared" si="48"/>
        <v>0.833333333333333</v>
      </c>
      <c r="X102" s="107">
        <f t="shared" si="49"/>
        <v>0.166666666666667</v>
      </c>
      <c r="Y102" s="105">
        <f t="shared" si="55"/>
        <v>0.476190476190476</v>
      </c>
      <c r="Z102" s="106">
        <f t="shared" si="56"/>
        <v>4.27619047619048</v>
      </c>
      <c r="AA102" s="106">
        <f t="shared" si="57"/>
        <v>3.16964891198468</v>
      </c>
      <c r="AB102" s="106">
        <v>0</v>
      </c>
      <c r="AC102" s="106">
        <f t="shared" si="58"/>
        <v>0.100466742252457</v>
      </c>
      <c r="AD102" s="107">
        <f t="shared" si="59"/>
        <v>0.100466742252457</v>
      </c>
      <c r="AE102" s="105">
        <f t="shared" si="60"/>
        <v>1.6712962962963</v>
      </c>
      <c r="AF102" s="106">
        <f t="shared" si="61"/>
        <v>3.16964891198468</v>
      </c>
      <c r="AG102" s="106">
        <f t="shared" si="50"/>
        <v>0.0653033824640968</v>
      </c>
      <c r="AH102" s="106">
        <f t="shared" si="51"/>
        <v>-0.180490664586213</v>
      </c>
      <c r="AI102" s="107">
        <f t="shared" si="62"/>
        <v>-0.115187282122116</v>
      </c>
      <c r="AJ102" s="105">
        <f t="shared" si="63"/>
        <v>0.633333333333333</v>
      </c>
      <c r="AK102" s="106">
        <f t="shared" si="64"/>
        <v>1.64950040918431</v>
      </c>
      <c r="AL102" s="106">
        <f t="shared" si="65"/>
        <v>0.205833333333333</v>
      </c>
      <c r="AM102" s="106">
        <f t="shared" si="52"/>
        <v>0</v>
      </c>
      <c r="AN102" s="107">
        <f t="shared" si="66"/>
        <v>0.205833333333333</v>
      </c>
      <c r="AO102" s="105">
        <f t="shared" si="53"/>
        <v>0.100466742252457</v>
      </c>
      <c r="AP102" s="106">
        <f t="shared" si="54"/>
        <v>0.1512</v>
      </c>
      <c r="AQ102" s="107">
        <f t="shared" si="67"/>
        <v>0.0132</v>
      </c>
      <c r="AR102" s="105">
        <f t="shared" si="68"/>
        <v>0.355512793463674</v>
      </c>
      <c r="AS102" s="106">
        <f t="shared" si="69"/>
        <v>12.6666666666667</v>
      </c>
      <c r="AT102" s="107">
        <f t="shared" si="70"/>
        <v>97.2699439863186</v>
      </c>
    </row>
    <row r="103" spans="17:46">
      <c r="Q103">
        <v>96</v>
      </c>
      <c r="R103" s="105">
        <f t="shared" si="43"/>
        <v>20</v>
      </c>
      <c r="S103" s="106">
        <f t="shared" ref="S103:S134" si="71">Q103*$O$12</f>
        <v>0.64</v>
      </c>
      <c r="T103" s="106">
        <f t="shared" si="45"/>
        <v>4</v>
      </c>
      <c r="U103" s="107">
        <f t="shared" ref="U103:U134" si="72">(R103*S103)/(T103*EFF_est)</f>
        <v>3.2</v>
      </c>
      <c r="V103" s="105">
        <f t="shared" ref="V103:V134" si="73">IF(S103&lt;((T103^2)*R103)/(2*Fsw*Lm*((T103+R103)^2)),1,2)</f>
        <v>2</v>
      </c>
      <c r="W103" s="106">
        <f t="shared" ref="W103:W134" si="74">CHOOSE(V103,SQRT(2*Lm*R103*S103*Fsw)/T103,R103/(T103+R103))</f>
        <v>0.833333333333333</v>
      </c>
      <c r="X103" s="107">
        <f t="shared" ref="X103:X134" si="75">CHOOSE(V103,(Lm*Z103*Fsw)/(R103),1-W103)</f>
        <v>0.166666666666667</v>
      </c>
      <c r="Y103" s="105">
        <f t="shared" si="55"/>
        <v>0.476190476190476</v>
      </c>
      <c r="Z103" s="106">
        <f t="shared" si="56"/>
        <v>4.31619047619048</v>
      </c>
      <c r="AA103" s="106">
        <f t="shared" si="57"/>
        <v>3.20295120903642</v>
      </c>
      <c r="AB103" s="106">
        <v>0</v>
      </c>
      <c r="AC103" s="106">
        <f t="shared" si="58"/>
        <v>0.102588964474679</v>
      </c>
      <c r="AD103" s="107">
        <f t="shared" si="59"/>
        <v>0.102588964474679</v>
      </c>
      <c r="AE103" s="105">
        <f t="shared" si="60"/>
        <v>1.70666666666667</v>
      </c>
      <c r="AF103" s="106">
        <f t="shared" si="61"/>
        <v>3.20295120903642</v>
      </c>
      <c r="AG103" s="106">
        <f t="shared" ref="AG103:AG134" si="76">(AF103^2)*RDS_on</f>
        <v>0.0666828269085412</v>
      </c>
      <c r="AH103" s="106">
        <f t="shared" ref="AH103:AH134" si="77">(((R103+T103)*(U103+S103))/2)*Fsw*(tr_sw+tf_sw)</f>
        <v>-0.1823905663187</v>
      </c>
      <c r="AI103" s="107">
        <f t="shared" si="62"/>
        <v>-0.115707739410158</v>
      </c>
      <c r="AJ103" s="105">
        <f t="shared" si="63"/>
        <v>0.64</v>
      </c>
      <c r="AK103" s="106">
        <f t="shared" si="64"/>
        <v>1.66582097969955</v>
      </c>
      <c r="AL103" s="106">
        <f t="shared" si="65"/>
        <v>0.208</v>
      </c>
      <c r="AM103" s="106">
        <f t="shared" ref="AM103:AM134" si="78">(R103+T103+Vd_rect)*Qrr*Fsw</f>
        <v>0</v>
      </c>
      <c r="AN103" s="107">
        <f t="shared" si="66"/>
        <v>0.208</v>
      </c>
      <c r="AO103" s="105">
        <f t="shared" ref="AO103:AO134" si="79">(AF103^2)*R_cs</f>
        <v>0.102588964474679</v>
      </c>
      <c r="AP103" s="106">
        <f t="shared" si="54"/>
        <v>0.1512</v>
      </c>
      <c r="AQ103" s="107">
        <f t="shared" si="67"/>
        <v>0.0132</v>
      </c>
      <c r="AR103" s="105">
        <f t="shared" si="68"/>
        <v>0.35928122506452</v>
      </c>
      <c r="AS103" s="106">
        <f t="shared" si="69"/>
        <v>12.8</v>
      </c>
      <c r="AT103" s="107">
        <f t="shared" si="70"/>
        <v>97.2697503843888</v>
      </c>
    </row>
    <row r="104" spans="17:46">
      <c r="Q104">
        <v>97</v>
      </c>
      <c r="R104" s="105">
        <f t="shared" si="43"/>
        <v>20</v>
      </c>
      <c r="S104" s="106">
        <f t="shared" si="71"/>
        <v>0.646666666666667</v>
      </c>
      <c r="T104" s="106">
        <f t="shared" si="45"/>
        <v>4</v>
      </c>
      <c r="U104" s="107">
        <f t="shared" si="72"/>
        <v>3.23333333333333</v>
      </c>
      <c r="V104" s="105">
        <f t="shared" si="73"/>
        <v>2</v>
      </c>
      <c r="W104" s="106">
        <f t="shared" si="74"/>
        <v>0.833333333333333</v>
      </c>
      <c r="X104" s="107">
        <f t="shared" si="75"/>
        <v>0.166666666666667</v>
      </c>
      <c r="Y104" s="105">
        <f t="shared" si="55"/>
        <v>0.476190476190476</v>
      </c>
      <c r="Z104" s="106">
        <f t="shared" si="56"/>
        <v>4.35619047619048</v>
      </c>
      <c r="AA104" s="106">
        <f t="shared" si="57"/>
        <v>3.23625414513637</v>
      </c>
      <c r="AB104" s="106">
        <v>0</v>
      </c>
      <c r="AC104" s="106">
        <f t="shared" si="58"/>
        <v>0.104733408919123</v>
      </c>
      <c r="AD104" s="107">
        <f t="shared" si="59"/>
        <v>0.104733408919123</v>
      </c>
      <c r="AE104" s="105">
        <f t="shared" si="60"/>
        <v>1.74240740740741</v>
      </c>
      <c r="AF104" s="106">
        <f t="shared" si="61"/>
        <v>3.23625414513637</v>
      </c>
      <c r="AG104" s="106">
        <f t="shared" si="76"/>
        <v>0.0680767157974301</v>
      </c>
      <c r="AH104" s="106">
        <f t="shared" si="77"/>
        <v>-0.184290468051186</v>
      </c>
      <c r="AI104" s="107">
        <f t="shared" si="62"/>
        <v>-0.116213752253756</v>
      </c>
      <c r="AJ104" s="105">
        <f t="shared" si="63"/>
        <v>0.646666666666667</v>
      </c>
      <c r="AK104" s="106">
        <f t="shared" si="64"/>
        <v>1.68214173191453</v>
      </c>
      <c r="AL104" s="106">
        <f t="shared" si="65"/>
        <v>0.210166666666667</v>
      </c>
      <c r="AM104" s="106">
        <f t="shared" si="78"/>
        <v>0</v>
      </c>
      <c r="AN104" s="107">
        <f t="shared" si="66"/>
        <v>0.210166666666667</v>
      </c>
      <c r="AO104" s="105">
        <f t="shared" si="79"/>
        <v>0.104733408919123</v>
      </c>
      <c r="AP104" s="106">
        <f t="shared" si="54"/>
        <v>0.1512</v>
      </c>
      <c r="AQ104" s="107">
        <f t="shared" si="67"/>
        <v>0.0132</v>
      </c>
      <c r="AR104" s="105">
        <f t="shared" si="68"/>
        <v>0.363086323332034</v>
      </c>
      <c r="AS104" s="106">
        <f t="shared" si="69"/>
        <v>12.9333333333333</v>
      </c>
      <c r="AT104" s="107">
        <f t="shared" si="70"/>
        <v>97.2692925410938</v>
      </c>
    </row>
    <row r="105" spans="17:46">
      <c r="Q105">
        <v>98</v>
      </c>
      <c r="R105" s="105">
        <f t="shared" si="43"/>
        <v>20</v>
      </c>
      <c r="S105" s="106">
        <f t="shared" si="71"/>
        <v>0.653333333333333</v>
      </c>
      <c r="T105" s="106">
        <f t="shared" si="45"/>
        <v>4</v>
      </c>
      <c r="U105" s="107">
        <f t="shared" si="72"/>
        <v>3.26666666666667</v>
      </c>
      <c r="V105" s="105">
        <f t="shared" si="73"/>
        <v>2</v>
      </c>
      <c r="W105" s="106">
        <f t="shared" si="74"/>
        <v>0.833333333333333</v>
      </c>
      <c r="X105" s="107">
        <f t="shared" si="75"/>
        <v>0.166666666666667</v>
      </c>
      <c r="Y105" s="105">
        <f t="shared" si="55"/>
        <v>0.476190476190476</v>
      </c>
      <c r="Z105" s="106">
        <f t="shared" si="56"/>
        <v>4.39619047619048</v>
      </c>
      <c r="AA105" s="106">
        <f t="shared" si="57"/>
        <v>3.26955770075694</v>
      </c>
      <c r="AB105" s="106">
        <v>0</v>
      </c>
      <c r="AC105" s="106">
        <f t="shared" si="58"/>
        <v>0.10690007558579</v>
      </c>
      <c r="AD105" s="107">
        <f t="shared" si="59"/>
        <v>0.10690007558579</v>
      </c>
      <c r="AE105" s="105">
        <f t="shared" si="60"/>
        <v>1.77851851851852</v>
      </c>
      <c r="AF105" s="106">
        <f t="shared" si="61"/>
        <v>3.26955770075694</v>
      </c>
      <c r="AG105" s="106">
        <f t="shared" si="76"/>
        <v>0.0694850491307634</v>
      </c>
      <c r="AH105" s="106">
        <f t="shared" si="77"/>
        <v>-0.186190369783672</v>
      </c>
      <c r="AI105" s="107">
        <f t="shared" si="62"/>
        <v>-0.116705320652909</v>
      </c>
      <c r="AJ105" s="105">
        <f t="shared" si="63"/>
        <v>0.653333333333333</v>
      </c>
      <c r="AK105" s="106">
        <f t="shared" si="64"/>
        <v>1.69846266059134</v>
      </c>
      <c r="AL105" s="106">
        <f t="shared" si="65"/>
        <v>0.212333333333333</v>
      </c>
      <c r="AM105" s="106">
        <f t="shared" si="78"/>
        <v>0</v>
      </c>
      <c r="AN105" s="107">
        <f t="shared" si="66"/>
        <v>0.212333333333333</v>
      </c>
      <c r="AO105" s="105">
        <f t="shared" si="79"/>
        <v>0.10690007558579</v>
      </c>
      <c r="AP105" s="106">
        <f t="shared" si="54"/>
        <v>0.1512</v>
      </c>
      <c r="AQ105" s="107">
        <f t="shared" si="67"/>
        <v>0.0132</v>
      </c>
      <c r="AR105" s="105">
        <f t="shared" si="68"/>
        <v>0.366928088266214</v>
      </c>
      <c r="AS105" s="106">
        <f t="shared" si="69"/>
        <v>13.0666666666667</v>
      </c>
      <c r="AT105" s="107">
        <f t="shared" si="70"/>
        <v>97.2685785527997</v>
      </c>
    </row>
    <row r="106" spans="17:46">
      <c r="Q106">
        <v>99</v>
      </c>
      <c r="R106" s="105">
        <f t="shared" si="43"/>
        <v>20</v>
      </c>
      <c r="S106" s="106">
        <f t="shared" si="71"/>
        <v>0.66</v>
      </c>
      <c r="T106" s="106">
        <f t="shared" si="45"/>
        <v>4</v>
      </c>
      <c r="U106" s="107">
        <f t="shared" si="72"/>
        <v>3.3</v>
      </c>
      <c r="V106" s="105">
        <f t="shared" si="73"/>
        <v>2</v>
      </c>
      <c r="W106" s="106">
        <f t="shared" si="74"/>
        <v>0.833333333333333</v>
      </c>
      <c r="X106" s="107">
        <f t="shared" si="75"/>
        <v>0.166666666666667</v>
      </c>
      <c r="Y106" s="105">
        <f t="shared" si="55"/>
        <v>0.476190476190476</v>
      </c>
      <c r="Z106" s="106">
        <f t="shared" si="56"/>
        <v>4.43619047619048</v>
      </c>
      <c r="AA106" s="106">
        <f t="shared" si="57"/>
        <v>3.3028618571578</v>
      </c>
      <c r="AB106" s="106">
        <v>0</v>
      </c>
      <c r="AC106" s="106">
        <f t="shared" si="58"/>
        <v>0.109088964474679</v>
      </c>
      <c r="AD106" s="107">
        <f t="shared" si="59"/>
        <v>0.109088964474679</v>
      </c>
      <c r="AE106" s="105">
        <f t="shared" si="60"/>
        <v>1.815</v>
      </c>
      <c r="AF106" s="106">
        <f t="shared" si="61"/>
        <v>3.3028618571578</v>
      </c>
      <c r="AG106" s="106">
        <f t="shared" si="76"/>
        <v>0.0709078269085412</v>
      </c>
      <c r="AH106" s="106">
        <f t="shared" si="77"/>
        <v>-0.188090271516159</v>
      </c>
      <c r="AI106" s="107">
        <f t="shared" si="62"/>
        <v>-0.117182444607618</v>
      </c>
      <c r="AJ106" s="105">
        <f t="shared" si="63"/>
        <v>0.66</v>
      </c>
      <c r="AK106" s="106">
        <f t="shared" si="64"/>
        <v>1.71478376069141</v>
      </c>
      <c r="AL106" s="106">
        <f t="shared" si="65"/>
        <v>0.2145</v>
      </c>
      <c r="AM106" s="106">
        <f t="shared" si="78"/>
        <v>0</v>
      </c>
      <c r="AN106" s="107">
        <f t="shared" si="66"/>
        <v>0.2145</v>
      </c>
      <c r="AO106" s="105">
        <f t="shared" si="79"/>
        <v>0.109088964474679</v>
      </c>
      <c r="AP106" s="106">
        <f t="shared" si="54"/>
        <v>0.1512</v>
      </c>
      <c r="AQ106" s="107">
        <f t="shared" si="67"/>
        <v>0.0132</v>
      </c>
      <c r="AR106" s="105">
        <f t="shared" si="68"/>
        <v>0.370806519867061</v>
      </c>
      <c r="AS106" s="106">
        <f t="shared" si="69"/>
        <v>13.2</v>
      </c>
      <c r="AT106" s="107">
        <f t="shared" si="70"/>
        <v>97.2676161927133</v>
      </c>
    </row>
    <row r="107" spans="17:46">
      <c r="Q107">
        <v>100</v>
      </c>
      <c r="R107" s="105">
        <f t="shared" si="43"/>
        <v>20</v>
      </c>
      <c r="S107" s="106">
        <f t="shared" si="71"/>
        <v>0.666666666666667</v>
      </c>
      <c r="T107" s="106">
        <f t="shared" si="45"/>
        <v>4</v>
      </c>
      <c r="U107" s="107">
        <f t="shared" si="72"/>
        <v>3.33333333333333</v>
      </c>
      <c r="V107" s="105">
        <f t="shared" si="73"/>
        <v>2</v>
      </c>
      <c r="W107" s="106">
        <f t="shared" si="74"/>
        <v>0.833333333333333</v>
      </c>
      <c r="X107" s="107">
        <f t="shared" si="75"/>
        <v>0.166666666666667</v>
      </c>
      <c r="Y107" s="105">
        <f t="shared" si="55"/>
        <v>0.476190476190476</v>
      </c>
      <c r="Z107" s="106">
        <f t="shared" si="56"/>
        <v>4.47619047619048</v>
      </c>
      <c r="AA107" s="106">
        <f t="shared" si="57"/>
        <v>3.33616659634662</v>
      </c>
      <c r="AB107" s="106">
        <v>0</v>
      </c>
      <c r="AC107" s="106">
        <f t="shared" si="58"/>
        <v>0.11130007558579</v>
      </c>
      <c r="AD107" s="107">
        <f t="shared" si="59"/>
        <v>0.11130007558579</v>
      </c>
      <c r="AE107" s="105">
        <f t="shared" si="60"/>
        <v>1.85185185185185</v>
      </c>
      <c r="AF107" s="106">
        <f t="shared" si="61"/>
        <v>3.33616659634662</v>
      </c>
      <c r="AG107" s="106">
        <f t="shared" si="76"/>
        <v>0.0723450491307634</v>
      </c>
      <c r="AH107" s="106">
        <f t="shared" si="77"/>
        <v>-0.189990173248645</v>
      </c>
      <c r="AI107" s="107">
        <f t="shared" si="62"/>
        <v>-0.117645124117882</v>
      </c>
      <c r="AJ107" s="105">
        <f t="shared" si="63"/>
        <v>0.666666666666667</v>
      </c>
      <c r="AK107" s="106">
        <f t="shared" si="64"/>
        <v>1.73110502736611</v>
      </c>
      <c r="AL107" s="106">
        <f t="shared" si="65"/>
        <v>0.216666666666667</v>
      </c>
      <c r="AM107" s="106">
        <f t="shared" si="78"/>
        <v>0</v>
      </c>
      <c r="AN107" s="107">
        <f t="shared" si="66"/>
        <v>0.216666666666667</v>
      </c>
      <c r="AO107" s="105">
        <f t="shared" si="79"/>
        <v>0.11130007558579</v>
      </c>
      <c r="AP107" s="106">
        <f t="shared" si="54"/>
        <v>0.1512</v>
      </c>
      <c r="AQ107" s="107">
        <f t="shared" si="67"/>
        <v>0.0132</v>
      </c>
      <c r="AR107" s="105">
        <f t="shared" si="68"/>
        <v>0.374721618134575</v>
      </c>
      <c r="AS107" s="106">
        <f t="shared" si="69"/>
        <v>13.3333333333333</v>
      </c>
      <c r="AT107" s="107">
        <f t="shared" si="70"/>
        <v>97.2664129268431</v>
      </c>
    </row>
    <row r="108" spans="17:46">
      <c r="Q108">
        <v>101</v>
      </c>
      <c r="R108" s="105">
        <f t="shared" si="43"/>
        <v>20</v>
      </c>
      <c r="S108" s="106">
        <f t="shared" si="71"/>
        <v>0.673333333333333</v>
      </c>
      <c r="T108" s="106">
        <f t="shared" si="45"/>
        <v>4</v>
      </c>
      <c r="U108" s="107">
        <f t="shared" si="72"/>
        <v>3.36666666666667</v>
      </c>
      <c r="V108" s="105">
        <f t="shared" si="73"/>
        <v>2</v>
      </c>
      <c r="W108" s="106">
        <f t="shared" si="74"/>
        <v>0.833333333333333</v>
      </c>
      <c r="X108" s="107">
        <f t="shared" si="75"/>
        <v>0.166666666666667</v>
      </c>
      <c r="Y108" s="105">
        <f t="shared" si="55"/>
        <v>0.476190476190476</v>
      </c>
      <c r="Z108" s="106">
        <f t="shared" si="56"/>
        <v>4.51619047619048</v>
      </c>
      <c r="AA108" s="106">
        <f t="shared" si="57"/>
        <v>3.36947190104211</v>
      </c>
      <c r="AB108" s="106">
        <v>0</v>
      </c>
      <c r="AC108" s="106">
        <f t="shared" si="58"/>
        <v>0.113533408919123</v>
      </c>
      <c r="AD108" s="107">
        <f t="shared" si="59"/>
        <v>0.113533408919123</v>
      </c>
      <c r="AE108" s="105">
        <f t="shared" si="60"/>
        <v>1.88907407407407</v>
      </c>
      <c r="AF108" s="106">
        <f t="shared" si="61"/>
        <v>3.36947190104211</v>
      </c>
      <c r="AG108" s="106">
        <f t="shared" si="76"/>
        <v>0.0737967157974301</v>
      </c>
      <c r="AH108" s="106">
        <f t="shared" si="77"/>
        <v>-0.191890074981132</v>
      </c>
      <c r="AI108" s="107">
        <f t="shared" si="62"/>
        <v>-0.118093359183702</v>
      </c>
      <c r="AJ108" s="105">
        <f t="shared" si="63"/>
        <v>0.673333333333333</v>
      </c>
      <c r="AK108" s="106">
        <f t="shared" si="64"/>
        <v>1.74742645594796</v>
      </c>
      <c r="AL108" s="106">
        <f t="shared" si="65"/>
        <v>0.218833333333333</v>
      </c>
      <c r="AM108" s="106">
        <f t="shared" si="78"/>
        <v>0</v>
      </c>
      <c r="AN108" s="107">
        <f t="shared" si="66"/>
        <v>0.218833333333333</v>
      </c>
      <c r="AO108" s="105">
        <f t="shared" si="79"/>
        <v>0.113533408919123</v>
      </c>
      <c r="AP108" s="106">
        <f t="shared" si="54"/>
        <v>0.1512</v>
      </c>
      <c r="AQ108" s="107">
        <f t="shared" si="67"/>
        <v>0.0132</v>
      </c>
      <c r="AR108" s="105">
        <f t="shared" si="68"/>
        <v>0.378673383068755</v>
      </c>
      <c r="AS108" s="106">
        <f t="shared" si="69"/>
        <v>13.4666666666667</v>
      </c>
      <c r="AT108" s="107">
        <f t="shared" si="70"/>
        <v>97.2649759290239</v>
      </c>
    </row>
    <row r="109" spans="17:46">
      <c r="Q109">
        <v>102</v>
      </c>
      <c r="R109" s="105">
        <f t="shared" si="43"/>
        <v>20</v>
      </c>
      <c r="S109" s="106">
        <f t="shared" si="71"/>
        <v>0.68</v>
      </c>
      <c r="T109" s="106">
        <f t="shared" si="45"/>
        <v>4</v>
      </c>
      <c r="U109" s="107">
        <f t="shared" si="72"/>
        <v>3.4</v>
      </c>
      <c r="V109" s="105">
        <f t="shared" si="73"/>
        <v>2</v>
      </c>
      <c r="W109" s="106">
        <f t="shared" si="74"/>
        <v>0.833333333333333</v>
      </c>
      <c r="X109" s="107">
        <f t="shared" si="75"/>
        <v>0.166666666666667</v>
      </c>
      <c r="Y109" s="105">
        <f t="shared" si="55"/>
        <v>0.476190476190476</v>
      </c>
      <c r="Z109" s="106">
        <f t="shared" si="56"/>
        <v>4.55619047619048</v>
      </c>
      <c r="AA109" s="106">
        <f t="shared" si="57"/>
        <v>3.40277775463927</v>
      </c>
      <c r="AB109" s="106">
        <v>0</v>
      </c>
      <c r="AC109" s="106">
        <f t="shared" si="58"/>
        <v>0.115788964474679</v>
      </c>
      <c r="AD109" s="107">
        <f t="shared" si="59"/>
        <v>0.115788964474679</v>
      </c>
      <c r="AE109" s="105">
        <f t="shared" si="60"/>
        <v>1.92666666666667</v>
      </c>
      <c r="AF109" s="106">
        <f t="shared" si="61"/>
        <v>3.40277775463927</v>
      </c>
      <c r="AG109" s="106">
        <f t="shared" si="76"/>
        <v>0.0752628269085412</v>
      </c>
      <c r="AH109" s="106">
        <f t="shared" si="77"/>
        <v>-0.193789976713618</v>
      </c>
      <c r="AI109" s="107">
        <f t="shared" si="62"/>
        <v>-0.118527149805077</v>
      </c>
      <c r="AJ109" s="105">
        <f t="shared" si="63"/>
        <v>0.68</v>
      </c>
      <c r="AK109" s="106">
        <f t="shared" si="64"/>
        <v>1.76374804194215</v>
      </c>
      <c r="AL109" s="106">
        <f t="shared" si="65"/>
        <v>0.221</v>
      </c>
      <c r="AM109" s="106">
        <f t="shared" si="78"/>
        <v>0</v>
      </c>
      <c r="AN109" s="107">
        <f t="shared" si="66"/>
        <v>0.221</v>
      </c>
      <c r="AO109" s="105">
        <f t="shared" si="79"/>
        <v>0.115788964474679</v>
      </c>
      <c r="AP109" s="106">
        <f t="shared" si="54"/>
        <v>0.1512</v>
      </c>
      <c r="AQ109" s="107">
        <f t="shared" si="67"/>
        <v>0.0132</v>
      </c>
      <c r="AR109" s="105">
        <f t="shared" si="68"/>
        <v>0.382661814669602</v>
      </c>
      <c r="AS109" s="106">
        <f t="shared" si="69"/>
        <v>13.6</v>
      </c>
      <c r="AT109" s="107">
        <f t="shared" si="70"/>
        <v>97.263312095068</v>
      </c>
    </row>
    <row r="110" spans="17:46">
      <c r="Q110">
        <v>103</v>
      </c>
      <c r="R110" s="105">
        <f t="shared" si="43"/>
        <v>20</v>
      </c>
      <c r="S110" s="106">
        <f t="shared" si="71"/>
        <v>0.686666666666667</v>
      </c>
      <c r="T110" s="106">
        <f t="shared" si="45"/>
        <v>4</v>
      </c>
      <c r="U110" s="107">
        <f t="shared" si="72"/>
        <v>3.43333333333333</v>
      </c>
      <c r="V110" s="105">
        <f t="shared" si="73"/>
        <v>2</v>
      </c>
      <c r="W110" s="106">
        <f t="shared" si="74"/>
        <v>0.833333333333333</v>
      </c>
      <c r="X110" s="107">
        <f t="shared" si="75"/>
        <v>0.166666666666667</v>
      </c>
      <c r="Y110" s="105">
        <f t="shared" si="55"/>
        <v>0.476190476190476</v>
      </c>
      <c r="Z110" s="106">
        <f t="shared" si="56"/>
        <v>4.59619047619048</v>
      </c>
      <c r="AA110" s="106">
        <f t="shared" si="57"/>
        <v>3.43608414117665</v>
      </c>
      <c r="AB110" s="106">
        <v>0</v>
      </c>
      <c r="AC110" s="106">
        <f t="shared" si="58"/>
        <v>0.118066742252457</v>
      </c>
      <c r="AD110" s="107">
        <f t="shared" si="59"/>
        <v>0.118066742252457</v>
      </c>
      <c r="AE110" s="105">
        <f t="shared" si="60"/>
        <v>1.96462962962963</v>
      </c>
      <c r="AF110" s="106">
        <f t="shared" si="61"/>
        <v>3.43608414117665</v>
      </c>
      <c r="AG110" s="106">
        <f t="shared" si="76"/>
        <v>0.0767433824640968</v>
      </c>
      <c r="AH110" s="106">
        <f t="shared" si="77"/>
        <v>-0.195689878446105</v>
      </c>
      <c r="AI110" s="107">
        <f t="shared" si="62"/>
        <v>-0.118946495982008</v>
      </c>
      <c r="AJ110" s="105">
        <f t="shared" si="63"/>
        <v>0.686666666666667</v>
      </c>
      <c r="AK110" s="106">
        <f t="shared" si="64"/>
        <v>1.78006978101872</v>
      </c>
      <c r="AL110" s="106">
        <f t="shared" si="65"/>
        <v>0.223166666666667</v>
      </c>
      <c r="AM110" s="106">
        <f t="shared" si="78"/>
        <v>0</v>
      </c>
      <c r="AN110" s="107">
        <f t="shared" si="66"/>
        <v>0.223166666666667</v>
      </c>
      <c r="AO110" s="105">
        <f t="shared" si="79"/>
        <v>0.118066742252457</v>
      </c>
      <c r="AP110" s="106">
        <f t="shared" si="54"/>
        <v>0.1512</v>
      </c>
      <c r="AQ110" s="107">
        <f t="shared" si="67"/>
        <v>0.0132</v>
      </c>
      <c r="AR110" s="105">
        <f t="shared" si="68"/>
        <v>0.386686912937115</v>
      </c>
      <c r="AS110" s="106">
        <f t="shared" si="69"/>
        <v>13.7333333333333</v>
      </c>
      <c r="AT110" s="107">
        <f t="shared" si="70"/>
        <v>97.2614280561017</v>
      </c>
    </row>
    <row r="111" spans="17:46">
      <c r="Q111">
        <v>104</v>
      </c>
      <c r="R111" s="105">
        <f t="shared" si="43"/>
        <v>20</v>
      </c>
      <c r="S111" s="106">
        <f t="shared" si="71"/>
        <v>0.693333333333333</v>
      </c>
      <c r="T111" s="106">
        <f t="shared" si="45"/>
        <v>4</v>
      </c>
      <c r="U111" s="107">
        <f t="shared" si="72"/>
        <v>3.46666666666667</v>
      </c>
      <c r="V111" s="105">
        <f t="shared" si="73"/>
        <v>2</v>
      </c>
      <c r="W111" s="106">
        <f t="shared" si="74"/>
        <v>0.833333333333333</v>
      </c>
      <c r="X111" s="107">
        <f t="shared" si="75"/>
        <v>0.166666666666667</v>
      </c>
      <c r="Y111" s="105">
        <f t="shared" si="55"/>
        <v>0.476190476190476</v>
      </c>
      <c r="Z111" s="106">
        <f t="shared" si="56"/>
        <v>4.63619047619048</v>
      </c>
      <c r="AA111" s="106">
        <f t="shared" si="57"/>
        <v>3.46939104530545</v>
      </c>
      <c r="AB111" s="106">
        <v>0</v>
      </c>
      <c r="AC111" s="106">
        <f t="shared" si="58"/>
        <v>0.120366742252457</v>
      </c>
      <c r="AD111" s="107">
        <f t="shared" si="59"/>
        <v>0.120366742252457</v>
      </c>
      <c r="AE111" s="105">
        <f t="shared" si="60"/>
        <v>2.00296296296296</v>
      </c>
      <c r="AF111" s="106">
        <f t="shared" si="61"/>
        <v>3.46939104530545</v>
      </c>
      <c r="AG111" s="106">
        <f t="shared" si="76"/>
        <v>0.0782383824640968</v>
      </c>
      <c r="AH111" s="106">
        <f t="shared" si="77"/>
        <v>-0.197589780178591</v>
      </c>
      <c r="AI111" s="107">
        <f t="shared" si="62"/>
        <v>-0.119351397714494</v>
      </c>
      <c r="AJ111" s="105">
        <f t="shared" si="63"/>
        <v>0.693333333333333</v>
      </c>
      <c r="AK111" s="106">
        <f t="shared" si="64"/>
        <v>1.79639166900502</v>
      </c>
      <c r="AL111" s="106">
        <f t="shared" si="65"/>
        <v>0.225333333333333</v>
      </c>
      <c r="AM111" s="106">
        <f t="shared" si="78"/>
        <v>0</v>
      </c>
      <c r="AN111" s="107">
        <f t="shared" si="66"/>
        <v>0.225333333333333</v>
      </c>
      <c r="AO111" s="105">
        <f t="shared" si="79"/>
        <v>0.120366742252457</v>
      </c>
      <c r="AP111" s="106">
        <f t="shared" si="54"/>
        <v>0.1512</v>
      </c>
      <c r="AQ111" s="107">
        <f t="shared" si="67"/>
        <v>0.0132</v>
      </c>
      <c r="AR111" s="105">
        <f t="shared" si="68"/>
        <v>0.390748677871295</v>
      </c>
      <c r="AS111" s="106">
        <f t="shared" si="69"/>
        <v>13.8666666666667</v>
      </c>
      <c r="AT111" s="107">
        <f t="shared" si="70"/>
        <v>97.2593301911416</v>
      </c>
    </row>
    <row r="112" spans="17:46">
      <c r="Q112">
        <v>105</v>
      </c>
      <c r="R112" s="105">
        <f t="shared" si="43"/>
        <v>20</v>
      </c>
      <c r="S112" s="106">
        <f t="shared" si="71"/>
        <v>0.7</v>
      </c>
      <c r="T112" s="106">
        <f t="shared" si="45"/>
        <v>4</v>
      </c>
      <c r="U112" s="107">
        <f t="shared" si="72"/>
        <v>3.5</v>
      </c>
      <c r="V112" s="105">
        <f t="shared" si="73"/>
        <v>2</v>
      </c>
      <c r="W112" s="106">
        <f t="shared" si="74"/>
        <v>0.833333333333333</v>
      </c>
      <c r="X112" s="107">
        <f t="shared" si="75"/>
        <v>0.166666666666667</v>
      </c>
      <c r="Y112" s="105">
        <f t="shared" si="55"/>
        <v>0.476190476190476</v>
      </c>
      <c r="Z112" s="106">
        <f t="shared" si="56"/>
        <v>4.67619047619048</v>
      </c>
      <c r="AA112" s="106">
        <f t="shared" si="57"/>
        <v>3.50269845226047</v>
      </c>
      <c r="AB112" s="106">
        <v>0</v>
      </c>
      <c r="AC112" s="106">
        <f t="shared" si="58"/>
        <v>0.122688964474679</v>
      </c>
      <c r="AD112" s="107">
        <f t="shared" si="59"/>
        <v>0.122688964474679</v>
      </c>
      <c r="AE112" s="105">
        <f t="shared" si="60"/>
        <v>2.04166666666667</v>
      </c>
      <c r="AF112" s="106">
        <f t="shared" si="61"/>
        <v>3.50269845226047</v>
      </c>
      <c r="AG112" s="106">
        <f t="shared" si="76"/>
        <v>0.0797478269085412</v>
      </c>
      <c r="AH112" s="106">
        <f t="shared" si="77"/>
        <v>-0.199489681911078</v>
      </c>
      <c r="AI112" s="107">
        <f t="shared" si="62"/>
        <v>-0.119741855002536</v>
      </c>
      <c r="AJ112" s="105">
        <f t="shared" si="63"/>
        <v>0.7</v>
      </c>
      <c r="AK112" s="106">
        <f t="shared" si="64"/>
        <v>1.81271370187865</v>
      </c>
      <c r="AL112" s="106">
        <f t="shared" si="65"/>
        <v>0.2275</v>
      </c>
      <c r="AM112" s="106">
        <f t="shared" si="78"/>
        <v>0</v>
      </c>
      <c r="AN112" s="107">
        <f t="shared" si="66"/>
        <v>0.2275</v>
      </c>
      <c r="AO112" s="105">
        <f t="shared" si="79"/>
        <v>0.122688964474679</v>
      </c>
      <c r="AP112" s="106">
        <f t="shared" si="54"/>
        <v>0.1512</v>
      </c>
      <c r="AQ112" s="107">
        <f t="shared" si="67"/>
        <v>0.0132</v>
      </c>
      <c r="AR112" s="105">
        <f t="shared" si="68"/>
        <v>0.394847109472142</v>
      </c>
      <c r="AS112" s="106">
        <f t="shared" si="69"/>
        <v>14</v>
      </c>
      <c r="AT112" s="107">
        <f t="shared" si="70"/>
        <v>97.2570246389604</v>
      </c>
    </row>
    <row r="113" spans="17:46">
      <c r="Q113">
        <v>106</v>
      </c>
      <c r="R113" s="105">
        <f t="shared" si="43"/>
        <v>20</v>
      </c>
      <c r="S113" s="106">
        <f t="shared" si="71"/>
        <v>0.706666666666667</v>
      </c>
      <c r="T113" s="106">
        <f t="shared" si="45"/>
        <v>4</v>
      </c>
      <c r="U113" s="107">
        <f t="shared" si="72"/>
        <v>3.53333333333333</v>
      </c>
      <c r="V113" s="105">
        <f t="shared" si="73"/>
        <v>2</v>
      </c>
      <c r="W113" s="106">
        <f t="shared" si="74"/>
        <v>0.833333333333333</v>
      </c>
      <c r="X113" s="107">
        <f t="shared" si="75"/>
        <v>0.166666666666667</v>
      </c>
      <c r="Y113" s="105">
        <f t="shared" si="55"/>
        <v>0.476190476190476</v>
      </c>
      <c r="Z113" s="106">
        <f t="shared" si="56"/>
        <v>4.71619047619048</v>
      </c>
      <c r="AA113" s="106">
        <f t="shared" si="57"/>
        <v>3.53600634783258</v>
      </c>
      <c r="AB113" s="106">
        <v>0</v>
      </c>
      <c r="AC113" s="106">
        <f t="shared" si="58"/>
        <v>0.125033408919123</v>
      </c>
      <c r="AD113" s="107">
        <f t="shared" si="59"/>
        <v>0.125033408919123</v>
      </c>
      <c r="AE113" s="105">
        <f t="shared" si="60"/>
        <v>2.08074074074074</v>
      </c>
      <c r="AF113" s="106">
        <f t="shared" si="61"/>
        <v>3.53600634783258</v>
      </c>
      <c r="AG113" s="106">
        <f t="shared" si="76"/>
        <v>0.0812717157974301</v>
      </c>
      <c r="AH113" s="106">
        <f t="shared" si="77"/>
        <v>-0.201389583643564</v>
      </c>
      <c r="AI113" s="107">
        <f t="shared" si="62"/>
        <v>-0.120117867846134</v>
      </c>
      <c r="AJ113" s="105">
        <f t="shared" si="63"/>
        <v>0.706666666666667</v>
      </c>
      <c r="AK113" s="106">
        <f t="shared" si="64"/>
        <v>1.82903587576074</v>
      </c>
      <c r="AL113" s="106">
        <f t="shared" si="65"/>
        <v>0.229666666666667</v>
      </c>
      <c r="AM113" s="106">
        <f t="shared" si="78"/>
        <v>0</v>
      </c>
      <c r="AN113" s="107">
        <f t="shared" si="66"/>
        <v>0.229666666666667</v>
      </c>
      <c r="AO113" s="105">
        <f t="shared" si="79"/>
        <v>0.125033408919123</v>
      </c>
      <c r="AP113" s="106">
        <f t="shared" si="54"/>
        <v>0.1512</v>
      </c>
      <c r="AQ113" s="107">
        <f t="shared" si="67"/>
        <v>0.0132</v>
      </c>
      <c r="AR113" s="105">
        <f t="shared" si="68"/>
        <v>0.398982207739656</v>
      </c>
      <c r="AS113" s="106">
        <f t="shared" si="69"/>
        <v>14.1333333333333</v>
      </c>
      <c r="AT113" s="107">
        <f t="shared" si="70"/>
        <v>97.2545173092891</v>
      </c>
    </row>
    <row r="114" spans="17:46">
      <c r="Q114">
        <v>107</v>
      </c>
      <c r="R114" s="105">
        <f t="shared" si="43"/>
        <v>20</v>
      </c>
      <c r="S114" s="106">
        <f t="shared" si="71"/>
        <v>0.713333333333333</v>
      </c>
      <c r="T114" s="106">
        <f t="shared" si="45"/>
        <v>4</v>
      </c>
      <c r="U114" s="107">
        <f t="shared" si="72"/>
        <v>3.56666666666667</v>
      </c>
      <c r="V114" s="105">
        <f t="shared" si="73"/>
        <v>2</v>
      </c>
      <c r="W114" s="106">
        <f t="shared" si="74"/>
        <v>0.833333333333333</v>
      </c>
      <c r="X114" s="107">
        <f t="shared" si="75"/>
        <v>0.166666666666667</v>
      </c>
      <c r="Y114" s="105">
        <f t="shared" si="55"/>
        <v>0.476190476190476</v>
      </c>
      <c r="Z114" s="106">
        <f t="shared" si="56"/>
        <v>4.75619047619048</v>
      </c>
      <c r="AA114" s="106">
        <f t="shared" si="57"/>
        <v>3.56931471834286</v>
      </c>
      <c r="AB114" s="106">
        <v>0</v>
      </c>
      <c r="AC114" s="106">
        <f t="shared" si="58"/>
        <v>0.12740007558579</v>
      </c>
      <c r="AD114" s="107">
        <f t="shared" si="59"/>
        <v>0.12740007558579</v>
      </c>
      <c r="AE114" s="105">
        <f t="shared" si="60"/>
        <v>2.12018518518519</v>
      </c>
      <c r="AF114" s="106">
        <f t="shared" si="61"/>
        <v>3.56931471834286</v>
      </c>
      <c r="AG114" s="106">
        <f t="shared" si="76"/>
        <v>0.0828100491307634</v>
      </c>
      <c r="AH114" s="106">
        <f t="shared" si="77"/>
        <v>-0.203289485376051</v>
      </c>
      <c r="AI114" s="107">
        <f t="shared" si="62"/>
        <v>-0.120479436245287</v>
      </c>
      <c r="AJ114" s="105">
        <f t="shared" si="63"/>
        <v>0.713333333333333</v>
      </c>
      <c r="AK114" s="106">
        <f t="shared" si="64"/>
        <v>1.84535818690965</v>
      </c>
      <c r="AL114" s="106">
        <f t="shared" si="65"/>
        <v>0.231833333333333</v>
      </c>
      <c r="AM114" s="106">
        <f t="shared" si="78"/>
        <v>0</v>
      </c>
      <c r="AN114" s="107">
        <f t="shared" si="66"/>
        <v>0.231833333333333</v>
      </c>
      <c r="AO114" s="105">
        <f t="shared" si="79"/>
        <v>0.12740007558579</v>
      </c>
      <c r="AP114" s="106">
        <f t="shared" si="54"/>
        <v>0.1512</v>
      </c>
      <c r="AQ114" s="107">
        <f t="shared" si="67"/>
        <v>0.0132</v>
      </c>
      <c r="AR114" s="105">
        <f t="shared" si="68"/>
        <v>0.403153972673836</v>
      </c>
      <c r="AS114" s="106">
        <f t="shared" si="69"/>
        <v>14.2666666666667</v>
      </c>
      <c r="AT114" s="107">
        <f t="shared" si="70"/>
        <v>97.2518138933977</v>
      </c>
    </row>
    <row r="115" spans="17:46">
      <c r="Q115">
        <v>108</v>
      </c>
      <c r="R115" s="105">
        <f t="shared" si="43"/>
        <v>20</v>
      </c>
      <c r="S115" s="106">
        <f t="shared" si="71"/>
        <v>0.72</v>
      </c>
      <c r="T115" s="106">
        <f t="shared" si="45"/>
        <v>4</v>
      </c>
      <c r="U115" s="107">
        <f t="shared" si="72"/>
        <v>3.6</v>
      </c>
      <c r="V115" s="105">
        <f t="shared" si="73"/>
        <v>2</v>
      </c>
      <c r="W115" s="106">
        <f t="shared" si="74"/>
        <v>0.833333333333333</v>
      </c>
      <c r="X115" s="107">
        <f t="shared" si="75"/>
        <v>0.166666666666667</v>
      </c>
      <c r="Y115" s="105">
        <f t="shared" si="55"/>
        <v>0.476190476190476</v>
      </c>
      <c r="Z115" s="106">
        <f t="shared" si="56"/>
        <v>4.79619047619048</v>
      </c>
      <c r="AA115" s="106">
        <f t="shared" si="57"/>
        <v>3.60262355061806</v>
      </c>
      <c r="AB115" s="106">
        <v>0</v>
      </c>
      <c r="AC115" s="106">
        <f t="shared" si="58"/>
        <v>0.129788964474679</v>
      </c>
      <c r="AD115" s="107">
        <f t="shared" si="59"/>
        <v>0.129788964474679</v>
      </c>
      <c r="AE115" s="105">
        <f t="shared" si="60"/>
        <v>2.16</v>
      </c>
      <c r="AF115" s="106">
        <f t="shared" si="61"/>
        <v>3.60262355061806</v>
      </c>
      <c r="AG115" s="106">
        <f t="shared" si="76"/>
        <v>0.0843628269085412</v>
      </c>
      <c r="AH115" s="106">
        <f t="shared" si="77"/>
        <v>-0.205189387108537</v>
      </c>
      <c r="AI115" s="107">
        <f t="shared" si="62"/>
        <v>-0.120826560199996</v>
      </c>
      <c r="AJ115" s="105">
        <f t="shared" si="63"/>
        <v>0.72</v>
      </c>
      <c r="AK115" s="106">
        <f t="shared" si="64"/>
        <v>1.8616806317149</v>
      </c>
      <c r="AL115" s="106">
        <f t="shared" si="65"/>
        <v>0.234</v>
      </c>
      <c r="AM115" s="106">
        <f t="shared" si="78"/>
        <v>0</v>
      </c>
      <c r="AN115" s="107">
        <f t="shared" si="66"/>
        <v>0.234</v>
      </c>
      <c r="AO115" s="105">
        <f t="shared" si="79"/>
        <v>0.129788964474679</v>
      </c>
      <c r="AP115" s="106">
        <f t="shared" si="54"/>
        <v>0.1512</v>
      </c>
      <c r="AQ115" s="107">
        <f t="shared" si="67"/>
        <v>0.0132</v>
      </c>
      <c r="AR115" s="105">
        <f t="shared" si="68"/>
        <v>0.407362404274683</v>
      </c>
      <c r="AS115" s="106">
        <f t="shared" si="69"/>
        <v>14.4</v>
      </c>
      <c r="AT115" s="107">
        <f t="shared" si="70"/>
        <v>97.2489198740953</v>
      </c>
    </row>
    <row r="116" spans="17:46">
      <c r="Q116">
        <v>109</v>
      </c>
      <c r="R116" s="105">
        <f t="shared" si="43"/>
        <v>20</v>
      </c>
      <c r="S116" s="106">
        <f t="shared" si="71"/>
        <v>0.726666666666667</v>
      </c>
      <c r="T116" s="106">
        <f t="shared" si="45"/>
        <v>4</v>
      </c>
      <c r="U116" s="107">
        <f t="shared" si="72"/>
        <v>3.63333333333333</v>
      </c>
      <c r="V116" s="105">
        <f t="shared" si="73"/>
        <v>2</v>
      </c>
      <c r="W116" s="106">
        <f t="shared" si="74"/>
        <v>0.833333333333333</v>
      </c>
      <c r="X116" s="107">
        <f t="shared" si="75"/>
        <v>0.166666666666667</v>
      </c>
      <c r="Y116" s="105">
        <f t="shared" si="55"/>
        <v>0.476190476190476</v>
      </c>
      <c r="Z116" s="106">
        <f t="shared" si="56"/>
        <v>4.83619047619048</v>
      </c>
      <c r="AA116" s="106">
        <f t="shared" si="57"/>
        <v>3.63593283196747</v>
      </c>
      <c r="AB116" s="106">
        <v>0</v>
      </c>
      <c r="AC116" s="106">
        <f t="shared" si="58"/>
        <v>0.13220007558579</v>
      </c>
      <c r="AD116" s="107">
        <f t="shared" si="59"/>
        <v>0.13220007558579</v>
      </c>
      <c r="AE116" s="105">
        <f t="shared" si="60"/>
        <v>2.20018518518519</v>
      </c>
      <c r="AF116" s="106">
        <f t="shared" si="61"/>
        <v>3.63593283196747</v>
      </c>
      <c r="AG116" s="106">
        <f t="shared" si="76"/>
        <v>0.0859300491307634</v>
      </c>
      <c r="AH116" s="106">
        <f t="shared" si="77"/>
        <v>-0.207089288841024</v>
      </c>
      <c r="AI116" s="107">
        <f t="shared" si="62"/>
        <v>-0.12115923971026</v>
      </c>
      <c r="AJ116" s="105">
        <f t="shared" si="63"/>
        <v>0.726666666666667</v>
      </c>
      <c r="AK116" s="106">
        <f t="shared" si="64"/>
        <v>1.87800320669153</v>
      </c>
      <c r="AL116" s="106">
        <f t="shared" si="65"/>
        <v>0.236166666666667</v>
      </c>
      <c r="AM116" s="106">
        <f t="shared" si="78"/>
        <v>0</v>
      </c>
      <c r="AN116" s="107">
        <f t="shared" si="66"/>
        <v>0.236166666666667</v>
      </c>
      <c r="AO116" s="105">
        <f t="shared" si="79"/>
        <v>0.13220007558579</v>
      </c>
      <c r="AP116" s="106">
        <f t="shared" si="54"/>
        <v>0.1512</v>
      </c>
      <c r="AQ116" s="107">
        <f t="shared" si="67"/>
        <v>0.0132</v>
      </c>
      <c r="AR116" s="105">
        <f t="shared" si="68"/>
        <v>0.411607502542196</v>
      </c>
      <c r="AS116" s="106">
        <f t="shared" si="69"/>
        <v>14.5333333333333</v>
      </c>
      <c r="AT116" s="107">
        <f t="shared" si="70"/>
        <v>97.2458405351855</v>
      </c>
    </row>
    <row r="117" spans="17:46">
      <c r="Q117">
        <v>110</v>
      </c>
      <c r="R117" s="105">
        <f t="shared" si="43"/>
        <v>20</v>
      </c>
      <c r="S117" s="106">
        <f t="shared" si="71"/>
        <v>0.733333333333333</v>
      </c>
      <c r="T117" s="106">
        <f t="shared" si="45"/>
        <v>4</v>
      </c>
      <c r="U117" s="107">
        <f t="shared" si="72"/>
        <v>3.66666666666667</v>
      </c>
      <c r="V117" s="105">
        <f t="shared" si="73"/>
        <v>2</v>
      </c>
      <c r="W117" s="106">
        <f t="shared" si="74"/>
        <v>0.833333333333333</v>
      </c>
      <c r="X117" s="107">
        <f t="shared" si="75"/>
        <v>0.166666666666667</v>
      </c>
      <c r="Y117" s="105">
        <f t="shared" si="55"/>
        <v>0.476190476190476</v>
      </c>
      <c r="Z117" s="106">
        <f t="shared" si="56"/>
        <v>4.87619047619048</v>
      </c>
      <c r="AA117" s="106">
        <f t="shared" si="57"/>
        <v>3.66924255016104</v>
      </c>
      <c r="AB117" s="106">
        <v>0</v>
      </c>
      <c r="AC117" s="106">
        <f t="shared" si="58"/>
        <v>0.134633408919123</v>
      </c>
      <c r="AD117" s="107">
        <f t="shared" si="59"/>
        <v>0.134633408919123</v>
      </c>
      <c r="AE117" s="105">
        <f t="shared" si="60"/>
        <v>2.24074074074074</v>
      </c>
      <c r="AF117" s="106">
        <f t="shared" si="61"/>
        <v>3.66924255016104</v>
      </c>
      <c r="AG117" s="106">
        <f t="shared" si="76"/>
        <v>0.0875117157974301</v>
      </c>
      <c r="AH117" s="106">
        <f t="shared" si="77"/>
        <v>-0.20898919057351</v>
      </c>
      <c r="AI117" s="107">
        <f t="shared" si="62"/>
        <v>-0.12147747477608</v>
      </c>
      <c r="AJ117" s="105">
        <f t="shared" si="63"/>
        <v>0.733333333333333</v>
      </c>
      <c r="AK117" s="106">
        <f t="shared" si="64"/>
        <v>1.89432590847464</v>
      </c>
      <c r="AL117" s="106">
        <f t="shared" si="65"/>
        <v>0.238333333333333</v>
      </c>
      <c r="AM117" s="106">
        <f t="shared" si="78"/>
        <v>0</v>
      </c>
      <c r="AN117" s="107">
        <f t="shared" si="66"/>
        <v>0.238333333333333</v>
      </c>
      <c r="AO117" s="105">
        <f t="shared" si="79"/>
        <v>0.134633408919123</v>
      </c>
      <c r="AP117" s="106">
        <f t="shared" si="54"/>
        <v>0.1512</v>
      </c>
      <c r="AQ117" s="107">
        <f t="shared" si="67"/>
        <v>0.0132</v>
      </c>
      <c r="AR117" s="105">
        <f t="shared" si="68"/>
        <v>0.415889267476377</v>
      </c>
      <c r="AS117" s="106">
        <f t="shared" si="69"/>
        <v>14.6666666666667</v>
      </c>
      <c r="AT117" s="107">
        <f t="shared" si="70"/>
        <v>97.2425809704116</v>
      </c>
    </row>
    <row r="118" spans="17:46">
      <c r="Q118">
        <v>111</v>
      </c>
      <c r="R118" s="105">
        <f t="shared" si="43"/>
        <v>20</v>
      </c>
      <c r="S118" s="106">
        <f t="shared" si="71"/>
        <v>0.74</v>
      </c>
      <c r="T118" s="106">
        <f t="shared" si="45"/>
        <v>4</v>
      </c>
      <c r="U118" s="107">
        <f t="shared" si="72"/>
        <v>3.7</v>
      </c>
      <c r="V118" s="105">
        <f t="shared" si="73"/>
        <v>2</v>
      </c>
      <c r="W118" s="106">
        <f t="shared" si="74"/>
        <v>0.833333333333333</v>
      </c>
      <c r="X118" s="107">
        <f t="shared" si="75"/>
        <v>0.166666666666667</v>
      </c>
      <c r="Y118" s="105">
        <f t="shared" si="55"/>
        <v>0.476190476190476</v>
      </c>
      <c r="Z118" s="106">
        <f t="shared" si="56"/>
        <v>4.91619047619048</v>
      </c>
      <c r="AA118" s="106">
        <f t="shared" si="57"/>
        <v>3.70255269340868</v>
      </c>
      <c r="AB118" s="106">
        <v>0</v>
      </c>
      <c r="AC118" s="106">
        <f t="shared" si="58"/>
        <v>0.137088964474679</v>
      </c>
      <c r="AD118" s="107">
        <f t="shared" si="59"/>
        <v>0.137088964474679</v>
      </c>
      <c r="AE118" s="105">
        <f t="shared" si="60"/>
        <v>2.28166666666667</v>
      </c>
      <c r="AF118" s="106">
        <f t="shared" si="61"/>
        <v>3.70255269340868</v>
      </c>
      <c r="AG118" s="106">
        <f t="shared" si="76"/>
        <v>0.0891078269085412</v>
      </c>
      <c r="AH118" s="106">
        <f t="shared" si="77"/>
        <v>-0.210889092305996</v>
      </c>
      <c r="AI118" s="107">
        <f t="shared" si="62"/>
        <v>-0.121781265397455</v>
      </c>
      <c r="AJ118" s="105">
        <f t="shared" si="63"/>
        <v>0.74</v>
      </c>
      <c r="AK118" s="106">
        <f t="shared" si="64"/>
        <v>1.9106487338143</v>
      </c>
      <c r="AL118" s="106">
        <f t="shared" si="65"/>
        <v>0.2405</v>
      </c>
      <c r="AM118" s="106">
        <f t="shared" si="78"/>
        <v>0</v>
      </c>
      <c r="AN118" s="107">
        <f t="shared" si="66"/>
        <v>0.2405</v>
      </c>
      <c r="AO118" s="105">
        <f t="shared" si="79"/>
        <v>0.137088964474679</v>
      </c>
      <c r="AP118" s="106">
        <f t="shared" si="54"/>
        <v>0.1512</v>
      </c>
      <c r="AQ118" s="107">
        <f t="shared" si="67"/>
        <v>0.0132</v>
      </c>
      <c r="AR118" s="105">
        <f t="shared" si="68"/>
        <v>0.420207699077224</v>
      </c>
      <c r="AS118" s="106">
        <f t="shared" si="69"/>
        <v>14.8</v>
      </c>
      <c r="AT118" s="107">
        <f t="shared" si="70"/>
        <v>97.2391460919242</v>
      </c>
    </row>
    <row r="119" spans="17:46">
      <c r="Q119">
        <v>112</v>
      </c>
      <c r="R119" s="105">
        <f t="shared" si="43"/>
        <v>20</v>
      </c>
      <c r="S119" s="106">
        <f t="shared" si="71"/>
        <v>0.746666666666667</v>
      </c>
      <c r="T119" s="106">
        <f t="shared" si="45"/>
        <v>4</v>
      </c>
      <c r="U119" s="107">
        <f t="shared" si="72"/>
        <v>3.73333333333333</v>
      </c>
      <c r="V119" s="105">
        <f t="shared" si="73"/>
        <v>2</v>
      </c>
      <c r="W119" s="106">
        <f t="shared" si="74"/>
        <v>0.833333333333333</v>
      </c>
      <c r="X119" s="107">
        <f t="shared" si="75"/>
        <v>0.166666666666667</v>
      </c>
      <c r="Y119" s="105">
        <f t="shared" si="55"/>
        <v>0.476190476190476</v>
      </c>
      <c r="Z119" s="106">
        <f t="shared" si="56"/>
        <v>4.95619047619048</v>
      </c>
      <c r="AA119" s="106">
        <f t="shared" si="57"/>
        <v>3.73586325034063</v>
      </c>
      <c r="AB119" s="106">
        <v>0</v>
      </c>
      <c r="AC119" s="106">
        <f t="shared" si="58"/>
        <v>0.139566742252457</v>
      </c>
      <c r="AD119" s="107">
        <f t="shared" si="59"/>
        <v>0.139566742252457</v>
      </c>
      <c r="AE119" s="105">
        <f t="shared" si="60"/>
        <v>2.32296296296296</v>
      </c>
      <c r="AF119" s="106">
        <f t="shared" si="61"/>
        <v>3.73586325034063</v>
      </c>
      <c r="AG119" s="106">
        <f t="shared" si="76"/>
        <v>0.0907183824640967</v>
      </c>
      <c r="AH119" s="106">
        <f t="shared" si="77"/>
        <v>-0.212788994038483</v>
      </c>
      <c r="AI119" s="107">
        <f t="shared" si="62"/>
        <v>-0.122070611574386</v>
      </c>
      <c r="AJ119" s="105">
        <f t="shared" si="63"/>
        <v>0.746666666666667</v>
      </c>
      <c r="AK119" s="106">
        <f t="shared" si="64"/>
        <v>1.92697167957069</v>
      </c>
      <c r="AL119" s="106">
        <f t="shared" si="65"/>
        <v>0.242666666666667</v>
      </c>
      <c r="AM119" s="106">
        <f t="shared" si="78"/>
        <v>0</v>
      </c>
      <c r="AN119" s="107">
        <f t="shared" si="66"/>
        <v>0.242666666666667</v>
      </c>
      <c r="AO119" s="105">
        <f t="shared" si="79"/>
        <v>0.139566742252457</v>
      </c>
      <c r="AP119" s="106">
        <f t="shared" si="54"/>
        <v>0.1512</v>
      </c>
      <c r="AQ119" s="107">
        <f t="shared" si="67"/>
        <v>0.0132</v>
      </c>
      <c r="AR119" s="105">
        <f t="shared" si="68"/>
        <v>0.424562797344737</v>
      </c>
      <c r="AS119" s="106">
        <f t="shared" si="69"/>
        <v>14.9333333333333</v>
      </c>
      <c r="AT119" s="107">
        <f t="shared" si="70"/>
        <v>97.2355406382997</v>
      </c>
    </row>
    <row r="120" spans="17:46">
      <c r="Q120">
        <v>113</v>
      </c>
      <c r="R120" s="105">
        <f t="shared" si="43"/>
        <v>20</v>
      </c>
      <c r="S120" s="106">
        <f t="shared" si="71"/>
        <v>0.753333333333333</v>
      </c>
      <c r="T120" s="106">
        <f t="shared" si="45"/>
        <v>4</v>
      </c>
      <c r="U120" s="107">
        <f t="shared" si="72"/>
        <v>3.76666666666667</v>
      </c>
      <c r="V120" s="105">
        <f t="shared" si="73"/>
        <v>2</v>
      </c>
      <c r="W120" s="106">
        <f t="shared" si="74"/>
        <v>0.833333333333333</v>
      </c>
      <c r="X120" s="107">
        <f t="shared" si="75"/>
        <v>0.166666666666667</v>
      </c>
      <c r="Y120" s="105">
        <f t="shared" si="55"/>
        <v>0.476190476190476</v>
      </c>
      <c r="Z120" s="106">
        <f t="shared" si="56"/>
        <v>4.99619047619048</v>
      </c>
      <c r="AA120" s="106">
        <f t="shared" si="57"/>
        <v>3.76917420998893</v>
      </c>
      <c r="AB120" s="106">
        <v>0</v>
      </c>
      <c r="AC120" s="106">
        <f t="shared" si="58"/>
        <v>0.142066742252457</v>
      </c>
      <c r="AD120" s="107">
        <f t="shared" si="59"/>
        <v>0.142066742252457</v>
      </c>
      <c r="AE120" s="105">
        <f t="shared" si="60"/>
        <v>2.36462962962963</v>
      </c>
      <c r="AF120" s="106">
        <f t="shared" si="61"/>
        <v>3.76917420998893</v>
      </c>
      <c r="AG120" s="106">
        <f t="shared" si="76"/>
        <v>0.0923433824640968</v>
      </c>
      <c r="AH120" s="106">
        <f t="shared" si="77"/>
        <v>-0.214688895770969</v>
      </c>
      <c r="AI120" s="107">
        <f t="shared" si="62"/>
        <v>-0.122345513306873</v>
      </c>
      <c r="AJ120" s="105">
        <f t="shared" si="63"/>
        <v>0.753333333333333</v>
      </c>
      <c r="AK120" s="106">
        <f t="shared" si="64"/>
        <v>1.94329474270942</v>
      </c>
      <c r="AL120" s="106">
        <f t="shared" si="65"/>
        <v>0.244833333333333</v>
      </c>
      <c r="AM120" s="106">
        <f t="shared" si="78"/>
        <v>0</v>
      </c>
      <c r="AN120" s="107">
        <f t="shared" si="66"/>
        <v>0.244833333333333</v>
      </c>
      <c r="AO120" s="105">
        <f t="shared" si="79"/>
        <v>0.142066742252457</v>
      </c>
      <c r="AP120" s="106">
        <f t="shared" si="54"/>
        <v>0.1512</v>
      </c>
      <c r="AQ120" s="107">
        <f t="shared" si="67"/>
        <v>0.0132</v>
      </c>
      <c r="AR120" s="105">
        <f t="shared" si="68"/>
        <v>0.428954562278917</v>
      </c>
      <c r="AS120" s="106">
        <f t="shared" si="69"/>
        <v>15.0666666666667</v>
      </c>
      <c r="AT120" s="107">
        <f t="shared" si="70"/>
        <v>97.2317691821375</v>
      </c>
    </row>
    <row r="121" spans="17:46">
      <c r="Q121">
        <v>114</v>
      </c>
      <c r="R121" s="105">
        <f t="shared" si="43"/>
        <v>20</v>
      </c>
      <c r="S121" s="106">
        <f t="shared" si="71"/>
        <v>0.76</v>
      </c>
      <c r="T121" s="106">
        <f t="shared" si="45"/>
        <v>4</v>
      </c>
      <c r="U121" s="107">
        <f t="shared" si="72"/>
        <v>3.8</v>
      </c>
      <c r="V121" s="105">
        <f t="shared" si="73"/>
        <v>2</v>
      </c>
      <c r="W121" s="106">
        <f t="shared" si="74"/>
        <v>0.833333333333333</v>
      </c>
      <c r="X121" s="107">
        <f t="shared" si="75"/>
        <v>0.166666666666667</v>
      </c>
      <c r="Y121" s="105">
        <f t="shared" si="55"/>
        <v>0.476190476190476</v>
      </c>
      <c r="Z121" s="106">
        <f t="shared" si="56"/>
        <v>5.03619047619048</v>
      </c>
      <c r="AA121" s="106">
        <f t="shared" si="57"/>
        <v>3.80248556176981</v>
      </c>
      <c r="AB121" s="106">
        <v>0</v>
      </c>
      <c r="AC121" s="106">
        <f t="shared" si="58"/>
        <v>0.144588964474679</v>
      </c>
      <c r="AD121" s="107">
        <f t="shared" si="59"/>
        <v>0.144588964474679</v>
      </c>
      <c r="AE121" s="105">
        <f t="shared" si="60"/>
        <v>2.40666666666667</v>
      </c>
      <c r="AF121" s="106">
        <f t="shared" si="61"/>
        <v>3.80248556176981</v>
      </c>
      <c r="AG121" s="106">
        <f t="shared" si="76"/>
        <v>0.0939828269085412</v>
      </c>
      <c r="AH121" s="106">
        <f t="shared" si="77"/>
        <v>-0.216588797503456</v>
      </c>
      <c r="AI121" s="107">
        <f t="shared" si="62"/>
        <v>-0.122605970594915</v>
      </c>
      <c r="AJ121" s="105">
        <f t="shared" si="63"/>
        <v>0.76</v>
      </c>
      <c r="AK121" s="106">
        <f t="shared" si="64"/>
        <v>1.95961792029722</v>
      </c>
      <c r="AL121" s="106">
        <f t="shared" si="65"/>
        <v>0.247</v>
      </c>
      <c r="AM121" s="106">
        <f t="shared" si="78"/>
        <v>0</v>
      </c>
      <c r="AN121" s="107">
        <f t="shared" si="66"/>
        <v>0.247</v>
      </c>
      <c r="AO121" s="105">
        <f t="shared" si="79"/>
        <v>0.144588964474679</v>
      </c>
      <c r="AP121" s="106">
        <f t="shared" si="54"/>
        <v>0.1512</v>
      </c>
      <c r="AQ121" s="107">
        <f t="shared" si="67"/>
        <v>0.0132</v>
      </c>
      <c r="AR121" s="105">
        <f t="shared" si="68"/>
        <v>0.433382993879764</v>
      </c>
      <c r="AS121" s="106">
        <f t="shared" si="69"/>
        <v>15.2</v>
      </c>
      <c r="AT121" s="107">
        <f t="shared" si="70"/>
        <v>97.227836137262</v>
      </c>
    </row>
    <row r="122" spans="17:46">
      <c r="Q122">
        <v>115</v>
      </c>
      <c r="R122" s="105">
        <f t="shared" si="43"/>
        <v>20</v>
      </c>
      <c r="S122" s="106">
        <f t="shared" si="71"/>
        <v>0.766666666666667</v>
      </c>
      <c r="T122" s="106">
        <f t="shared" si="45"/>
        <v>4</v>
      </c>
      <c r="U122" s="107">
        <f t="shared" si="72"/>
        <v>3.83333333333333</v>
      </c>
      <c r="V122" s="105">
        <f t="shared" si="73"/>
        <v>2</v>
      </c>
      <c r="W122" s="106">
        <f t="shared" si="74"/>
        <v>0.833333333333333</v>
      </c>
      <c r="X122" s="107">
        <f t="shared" si="75"/>
        <v>0.166666666666667</v>
      </c>
      <c r="Y122" s="105">
        <f t="shared" si="55"/>
        <v>0.476190476190476</v>
      </c>
      <c r="Z122" s="106">
        <f t="shared" si="56"/>
        <v>5.07619047619048</v>
      </c>
      <c r="AA122" s="106">
        <f t="shared" si="57"/>
        <v>3.83579729546705</v>
      </c>
      <c r="AB122" s="106">
        <v>0</v>
      </c>
      <c r="AC122" s="106">
        <f t="shared" si="58"/>
        <v>0.147133408919123</v>
      </c>
      <c r="AD122" s="107">
        <f t="shared" si="59"/>
        <v>0.147133408919123</v>
      </c>
      <c r="AE122" s="105">
        <f t="shared" si="60"/>
        <v>2.44907407407407</v>
      </c>
      <c r="AF122" s="106">
        <f t="shared" si="61"/>
        <v>3.83579729546705</v>
      </c>
      <c r="AG122" s="106">
        <f t="shared" si="76"/>
        <v>0.0956367157974301</v>
      </c>
      <c r="AH122" s="106">
        <f t="shared" si="77"/>
        <v>-0.218488699235942</v>
      </c>
      <c r="AI122" s="107">
        <f t="shared" si="62"/>
        <v>-0.122851983438512</v>
      </c>
      <c r="AJ122" s="105">
        <f t="shared" si="63"/>
        <v>0.766666666666667</v>
      </c>
      <c r="AK122" s="106">
        <f t="shared" si="64"/>
        <v>1.97594120949771</v>
      </c>
      <c r="AL122" s="106">
        <f t="shared" si="65"/>
        <v>0.249166666666667</v>
      </c>
      <c r="AM122" s="106">
        <f t="shared" si="78"/>
        <v>0</v>
      </c>
      <c r="AN122" s="107">
        <f t="shared" si="66"/>
        <v>0.249166666666667</v>
      </c>
      <c r="AO122" s="105">
        <f t="shared" si="79"/>
        <v>0.147133408919123</v>
      </c>
      <c r="AP122" s="106">
        <f t="shared" si="54"/>
        <v>0.1512</v>
      </c>
      <c r="AQ122" s="107">
        <f t="shared" si="67"/>
        <v>0.0132</v>
      </c>
      <c r="AR122" s="105">
        <f t="shared" si="68"/>
        <v>0.437848092147278</v>
      </c>
      <c r="AS122" s="106">
        <f t="shared" si="69"/>
        <v>15.3333333333333</v>
      </c>
      <c r="AT122" s="107">
        <f t="shared" si="70"/>
        <v>97.2237457655527</v>
      </c>
    </row>
    <row r="123" spans="17:46">
      <c r="Q123">
        <v>116</v>
      </c>
      <c r="R123" s="105">
        <f t="shared" si="43"/>
        <v>20</v>
      </c>
      <c r="S123" s="106">
        <f t="shared" si="71"/>
        <v>0.773333333333333</v>
      </c>
      <c r="T123" s="106">
        <f t="shared" si="45"/>
        <v>4</v>
      </c>
      <c r="U123" s="107">
        <f t="shared" si="72"/>
        <v>3.86666666666667</v>
      </c>
      <c r="V123" s="105">
        <f t="shared" si="73"/>
        <v>2</v>
      </c>
      <c r="W123" s="106">
        <f t="shared" si="74"/>
        <v>0.833333333333333</v>
      </c>
      <c r="X123" s="107">
        <f t="shared" si="75"/>
        <v>0.166666666666667</v>
      </c>
      <c r="Y123" s="105">
        <f t="shared" si="55"/>
        <v>0.476190476190476</v>
      </c>
      <c r="Z123" s="106">
        <f t="shared" si="56"/>
        <v>5.11619047619048</v>
      </c>
      <c r="AA123" s="106">
        <f t="shared" si="57"/>
        <v>3.86910940121612</v>
      </c>
      <c r="AB123" s="106">
        <v>0</v>
      </c>
      <c r="AC123" s="106">
        <f t="shared" si="58"/>
        <v>0.14970007558579</v>
      </c>
      <c r="AD123" s="107">
        <f t="shared" si="59"/>
        <v>0.14970007558579</v>
      </c>
      <c r="AE123" s="105">
        <f t="shared" si="60"/>
        <v>2.49185185185185</v>
      </c>
      <c r="AF123" s="106">
        <f t="shared" si="61"/>
        <v>3.86910940121612</v>
      </c>
      <c r="AG123" s="106">
        <f t="shared" si="76"/>
        <v>0.0973050491307634</v>
      </c>
      <c r="AH123" s="106">
        <f t="shared" si="77"/>
        <v>-0.220388600968429</v>
      </c>
      <c r="AI123" s="107">
        <f t="shared" si="62"/>
        <v>-0.123083551837665</v>
      </c>
      <c r="AJ123" s="105">
        <f t="shared" si="63"/>
        <v>0.773333333333333</v>
      </c>
      <c r="AK123" s="106">
        <f t="shared" si="64"/>
        <v>1.99226460756745</v>
      </c>
      <c r="AL123" s="106">
        <f t="shared" si="65"/>
        <v>0.251333333333333</v>
      </c>
      <c r="AM123" s="106">
        <f t="shared" si="78"/>
        <v>0</v>
      </c>
      <c r="AN123" s="107">
        <f t="shared" si="66"/>
        <v>0.251333333333333</v>
      </c>
      <c r="AO123" s="105">
        <f t="shared" si="79"/>
        <v>0.14970007558579</v>
      </c>
      <c r="AP123" s="106">
        <f t="shared" si="54"/>
        <v>0.1512</v>
      </c>
      <c r="AQ123" s="107">
        <f t="shared" si="67"/>
        <v>0.0132</v>
      </c>
      <c r="AR123" s="105">
        <f t="shared" si="68"/>
        <v>0.442349857081458</v>
      </c>
      <c r="AS123" s="106">
        <f t="shared" si="69"/>
        <v>15.4666666666667</v>
      </c>
      <c r="AT123" s="107">
        <f t="shared" si="70"/>
        <v>97.2195021834245</v>
      </c>
    </row>
    <row r="124" spans="17:46">
      <c r="Q124">
        <v>117</v>
      </c>
      <c r="R124" s="105">
        <f t="shared" si="43"/>
        <v>20</v>
      </c>
      <c r="S124" s="106">
        <f t="shared" si="71"/>
        <v>0.78</v>
      </c>
      <c r="T124" s="106">
        <f t="shared" si="45"/>
        <v>4</v>
      </c>
      <c r="U124" s="107">
        <f t="shared" si="72"/>
        <v>3.9</v>
      </c>
      <c r="V124" s="105">
        <f t="shared" si="73"/>
        <v>2</v>
      </c>
      <c r="W124" s="106">
        <f t="shared" si="74"/>
        <v>0.833333333333333</v>
      </c>
      <c r="X124" s="107">
        <f t="shared" si="75"/>
        <v>0.166666666666667</v>
      </c>
      <c r="Y124" s="105">
        <f t="shared" si="55"/>
        <v>0.476190476190476</v>
      </c>
      <c r="Z124" s="106">
        <f t="shared" si="56"/>
        <v>5.15619047619048</v>
      </c>
      <c r="AA124" s="106">
        <f t="shared" si="57"/>
        <v>3.90242186948924</v>
      </c>
      <c r="AB124" s="106">
        <v>0</v>
      </c>
      <c r="AC124" s="106">
        <f t="shared" si="58"/>
        <v>0.152288964474679</v>
      </c>
      <c r="AD124" s="107">
        <f t="shared" si="59"/>
        <v>0.152288964474679</v>
      </c>
      <c r="AE124" s="105">
        <f t="shared" si="60"/>
        <v>2.535</v>
      </c>
      <c r="AF124" s="106">
        <f t="shared" si="61"/>
        <v>3.90242186948924</v>
      </c>
      <c r="AG124" s="106">
        <f t="shared" si="76"/>
        <v>0.0989878269085412</v>
      </c>
      <c r="AH124" s="106">
        <f t="shared" si="77"/>
        <v>-0.222288502700915</v>
      </c>
      <c r="AI124" s="107">
        <f t="shared" si="62"/>
        <v>-0.123300675792374</v>
      </c>
      <c r="AJ124" s="105">
        <f t="shared" si="63"/>
        <v>0.78</v>
      </c>
      <c r="AK124" s="106">
        <f t="shared" si="64"/>
        <v>2.00858811185216</v>
      </c>
      <c r="AL124" s="106">
        <f t="shared" si="65"/>
        <v>0.2535</v>
      </c>
      <c r="AM124" s="106">
        <f t="shared" si="78"/>
        <v>0</v>
      </c>
      <c r="AN124" s="107">
        <f t="shared" si="66"/>
        <v>0.2535</v>
      </c>
      <c r="AO124" s="105">
        <f t="shared" si="79"/>
        <v>0.152288964474679</v>
      </c>
      <c r="AP124" s="106">
        <f t="shared" si="54"/>
        <v>0.1512</v>
      </c>
      <c r="AQ124" s="107">
        <f t="shared" si="67"/>
        <v>0.0132</v>
      </c>
      <c r="AR124" s="105">
        <f t="shared" si="68"/>
        <v>0.446888288682305</v>
      </c>
      <c r="AS124" s="106">
        <f t="shared" si="69"/>
        <v>15.6</v>
      </c>
      <c r="AT124" s="107">
        <f t="shared" si="70"/>
        <v>97.2151093679795</v>
      </c>
    </row>
    <row r="125" spans="17:46">
      <c r="Q125">
        <v>118</v>
      </c>
      <c r="R125" s="105">
        <f t="shared" si="43"/>
        <v>20</v>
      </c>
      <c r="S125" s="106">
        <f t="shared" si="71"/>
        <v>0.786666666666667</v>
      </c>
      <c r="T125" s="106">
        <f t="shared" si="45"/>
        <v>4</v>
      </c>
      <c r="U125" s="107">
        <f t="shared" si="72"/>
        <v>3.93333333333333</v>
      </c>
      <c r="V125" s="105">
        <f t="shared" si="73"/>
        <v>2</v>
      </c>
      <c r="W125" s="106">
        <f t="shared" si="74"/>
        <v>0.833333333333333</v>
      </c>
      <c r="X125" s="107">
        <f t="shared" si="75"/>
        <v>0.166666666666667</v>
      </c>
      <c r="Y125" s="105">
        <f t="shared" si="55"/>
        <v>0.476190476190476</v>
      </c>
      <c r="Z125" s="106">
        <f t="shared" si="56"/>
        <v>5.19619047619048</v>
      </c>
      <c r="AA125" s="106">
        <f t="shared" si="57"/>
        <v>3.93573469108107</v>
      </c>
      <c r="AB125" s="106">
        <v>0</v>
      </c>
      <c r="AC125" s="106">
        <f t="shared" si="58"/>
        <v>0.15490007558579</v>
      </c>
      <c r="AD125" s="107">
        <f t="shared" si="59"/>
        <v>0.15490007558579</v>
      </c>
      <c r="AE125" s="105">
        <f t="shared" si="60"/>
        <v>2.57851851851852</v>
      </c>
      <c r="AF125" s="106">
        <f t="shared" si="61"/>
        <v>3.93573469108107</v>
      </c>
      <c r="AG125" s="106">
        <f t="shared" si="76"/>
        <v>0.100685049130763</v>
      </c>
      <c r="AH125" s="106">
        <f t="shared" si="77"/>
        <v>-0.224188404433402</v>
      </c>
      <c r="AI125" s="107">
        <f t="shared" si="62"/>
        <v>-0.123503355302638</v>
      </c>
      <c r="AJ125" s="105">
        <f t="shared" si="63"/>
        <v>0.786666666666667</v>
      </c>
      <c r="AK125" s="106">
        <f t="shared" si="64"/>
        <v>2.02491171978313</v>
      </c>
      <c r="AL125" s="106">
        <f t="shared" si="65"/>
        <v>0.255666666666667</v>
      </c>
      <c r="AM125" s="106">
        <f t="shared" si="78"/>
        <v>0</v>
      </c>
      <c r="AN125" s="107">
        <f t="shared" si="66"/>
        <v>0.255666666666667</v>
      </c>
      <c r="AO125" s="105">
        <f t="shared" si="79"/>
        <v>0.15490007558579</v>
      </c>
      <c r="AP125" s="106">
        <f t="shared" si="54"/>
        <v>0.1512</v>
      </c>
      <c r="AQ125" s="107">
        <f t="shared" si="67"/>
        <v>0.0132</v>
      </c>
      <c r="AR125" s="105">
        <f t="shared" si="68"/>
        <v>0.451463386949818</v>
      </c>
      <c r="AS125" s="106">
        <f t="shared" si="69"/>
        <v>15.7333333333333</v>
      </c>
      <c r="AT125" s="107">
        <f t="shared" si="70"/>
        <v>97.2105711628492</v>
      </c>
    </row>
    <row r="126" spans="17:46">
      <c r="Q126">
        <v>119</v>
      </c>
      <c r="R126" s="105">
        <f t="shared" si="43"/>
        <v>20</v>
      </c>
      <c r="S126" s="106">
        <f t="shared" si="71"/>
        <v>0.793333333333333</v>
      </c>
      <c r="T126" s="106">
        <f t="shared" si="45"/>
        <v>4</v>
      </c>
      <c r="U126" s="107">
        <f t="shared" si="72"/>
        <v>3.96666666666667</v>
      </c>
      <c r="V126" s="105">
        <f t="shared" si="73"/>
        <v>2</v>
      </c>
      <c r="W126" s="106">
        <f t="shared" si="74"/>
        <v>0.833333333333333</v>
      </c>
      <c r="X126" s="107">
        <f t="shared" si="75"/>
        <v>0.166666666666667</v>
      </c>
      <c r="Y126" s="105">
        <f t="shared" si="55"/>
        <v>0.476190476190476</v>
      </c>
      <c r="Z126" s="106">
        <f t="shared" si="56"/>
        <v>5.23619047619048</v>
      </c>
      <c r="AA126" s="106">
        <f t="shared" si="57"/>
        <v>3.96904785709524</v>
      </c>
      <c r="AB126" s="106">
        <v>0</v>
      </c>
      <c r="AC126" s="106">
        <f t="shared" si="58"/>
        <v>0.157533408919123</v>
      </c>
      <c r="AD126" s="107">
        <f t="shared" si="59"/>
        <v>0.157533408919123</v>
      </c>
      <c r="AE126" s="105">
        <f t="shared" si="60"/>
        <v>2.62240740740741</v>
      </c>
      <c r="AF126" s="106">
        <f t="shared" si="61"/>
        <v>3.96904785709524</v>
      </c>
      <c r="AG126" s="106">
        <f t="shared" si="76"/>
        <v>0.10239671579743</v>
      </c>
      <c r="AH126" s="106">
        <f t="shared" si="77"/>
        <v>-0.226088306165888</v>
      </c>
      <c r="AI126" s="107">
        <f t="shared" si="62"/>
        <v>-0.123691590368458</v>
      </c>
      <c r="AJ126" s="105">
        <f t="shared" si="63"/>
        <v>0.793333333333333</v>
      </c>
      <c r="AK126" s="106">
        <f t="shared" si="64"/>
        <v>2.04123542887382</v>
      </c>
      <c r="AL126" s="106">
        <f t="shared" si="65"/>
        <v>0.257833333333333</v>
      </c>
      <c r="AM126" s="106">
        <f t="shared" si="78"/>
        <v>0</v>
      </c>
      <c r="AN126" s="107">
        <f t="shared" si="66"/>
        <v>0.257833333333333</v>
      </c>
      <c r="AO126" s="105">
        <f t="shared" si="79"/>
        <v>0.157533408919123</v>
      </c>
      <c r="AP126" s="106">
        <f t="shared" si="54"/>
        <v>0.1512</v>
      </c>
      <c r="AQ126" s="107">
        <f t="shared" si="67"/>
        <v>0.0132</v>
      </c>
      <c r="AR126" s="105">
        <f t="shared" si="68"/>
        <v>0.456075151883999</v>
      </c>
      <c r="AS126" s="106">
        <f t="shared" si="69"/>
        <v>15.8666666666667</v>
      </c>
      <c r="AT126" s="107">
        <f t="shared" si="70"/>
        <v>97.2058912837445</v>
      </c>
    </row>
    <row r="127" spans="17:46">
      <c r="Q127">
        <v>120</v>
      </c>
      <c r="R127" s="105">
        <f t="shared" si="43"/>
        <v>20</v>
      </c>
      <c r="S127" s="106">
        <f t="shared" si="71"/>
        <v>0.8</v>
      </c>
      <c r="T127" s="106">
        <f t="shared" si="45"/>
        <v>4</v>
      </c>
      <c r="U127" s="107">
        <f t="shared" si="72"/>
        <v>4</v>
      </c>
      <c r="V127" s="105">
        <f t="shared" si="73"/>
        <v>2</v>
      </c>
      <c r="W127" s="106">
        <f t="shared" si="74"/>
        <v>0.833333333333333</v>
      </c>
      <c r="X127" s="107">
        <f t="shared" si="75"/>
        <v>0.166666666666667</v>
      </c>
      <c r="Y127" s="105">
        <f t="shared" si="55"/>
        <v>0.476190476190476</v>
      </c>
      <c r="Z127" s="106">
        <f t="shared" si="56"/>
        <v>5.27619047619048</v>
      </c>
      <c r="AA127" s="106">
        <f t="shared" si="57"/>
        <v>4.00236135893148</v>
      </c>
      <c r="AB127" s="106">
        <v>0</v>
      </c>
      <c r="AC127" s="106">
        <f t="shared" si="58"/>
        <v>0.160188964474679</v>
      </c>
      <c r="AD127" s="107">
        <f t="shared" si="59"/>
        <v>0.160188964474679</v>
      </c>
      <c r="AE127" s="105">
        <f t="shared" si="60"/>
        <v>2.66666666666667</v>
      </c>
      <c r="AF127" s="106">
        <f t="shared" si="61"/>
        <v>4.00236135893148</v>
      </c>
      <c r="AG127" s="106">
        <f t="shared" si="76"/>
        <v>0.104122826908541</v>
      </c>
      <c r="AH127" s="106">
        <f t="shared" si="77"/>
        <v>-0.227988207898374</v>
      </c>
      <c r="AI127" s="107">
        <f t="shared" si="62"/>
        <v>-0.123865380989833</v>
      </c>
      <c r="AJ127" s="105">
        <f t="shared" si="63"/>
        <v>0.8</v>
      </c>
      <c r="AK127" s="106">
        <f t="shared" si="64"/>
        <v>2.05755923671656</v>
      </c>
      <c r="AL127" s="106">
        <f t="shared" si="65"/>
        <v>0.26</v>
      </c>
      <c r="AM127" s="106">
        <f t="shared" si="78"/>
        <v>0</v>
      </c>
      <c r="AN127" s="107">
        <f t="shared" si="66"/>
        <v>0.26</v>
      </c>
      <c r="AO127" s="105">
        <f t="shared" si="79"/>
        <v>0.160188964474679</v>
      </c>
      <c r="AP127" s="106">
        <f t="shared" si="54"/>
        <v>0.1512</v>
      </c>
      <c r="AQ127" s="107">
        <f t="shared" si="67"/>
        <v>0.0132</v>
      </c>
      <c r="AR127" s="105">
        <f t="shared" si="68"/>
        <v>0.460723583484846</v>
      </c>
      <c r="AS127" s="106">
        <f t="shared" si="69"/>
        <v>16</v>
      </c>
      <c r="AT127" s="107">
        <f t="shared" si="70"/>
        <v>97.2010733237323</v>
      </c>
    </row>
    <row r="128" spans="17:46">
      <c r="Q128">
        <v>121</v>
      </c>
      <c r="R128" s="105">
        <f t="shared" si="43"/>
        <v>20</v>
      </c>
      <c r="S128" s="106">
        <f t="shared" si="71"/>
        <v>0.806666666666667</v>
      </c>
      <c r="T128" s="106">
        <f t="shared" si="45"/>
        <v>4</v>
      </c>
      <c r="U128" s="107">
        <f t="shared" si="72"/>
        <v>4.03333333333333</v>
      </c>
      <c r="V128" s="105">
        <f t="shared" si="73"/>
        <v>2</v>
      </c>
      <c r="W128" s="106">
        <f t="shared" si="74"/>
        <v>0.833333333333333</v>
      </c>
      <c r="X128" s="107">
        <f t="shared" si="75"/>
        <v>0.166666666666667</v>
      </c>
      <c r="Y128" s="105">
        <f t="shared" si="55"/>
        <v>0.476190476190476</v>
      </c>
      <c r="Z128" s="106">
        <f t="shared" si="56"/>
        <v>5.31619047619048</v>
      </c>
      <c r="AA128" s="106">
        <f t="shared" si="57"/>
        <v>4.03567518827341</v>
      </c>
      <c r="AB128" s="106">
        <v>0</v>
      </c>
      <c r="AC128" s="106">
        <f t="shared" si="58"/>
        <v>0.162866742252457</v>
      </c>
      <c r="AD128" s="107">
        <f t="shared" si="59"/>
        <v>0.162866742252457</v>
      </c>
      <c r="AE128" s="105">
        <f t="shared" si="60"/>
        <v>2.7112962962963</v>
      </c>
      <c r="AF128" s="106">
        <f t="shared" si="61"/>
        <v>4.03567518827341</v>
      </c>
      <c r="AG128" s="106">
        <f t="shared" si="76"/>
        <v>0.105863382464097</v>
      </c>
      <c r="AH128" s="106">
        <f t="shared" si="77"/>
        <v>-0.229888109630861</v>
      </c>
      <c r="AI128" s="107">
        <f t="shared" si="62"/>
        <v>-0.124024727166764</v>
      </c>
      <c r="AJ128" s="105">
        <f t="shared" si="63"/>
        <v>0.806666666666667</v>
      </c>
      <c r="AK128" s="106">
        <f t="shared" si="64"/>
        <v>2.07388314097948</v>
      </c>
      <c r="AL128" s="106">
        <f t="shared" si="65"/>
        <v>0.262166666666667</v>
      </c>
      <c r="AM128" s="106">
        <f t="shared" si="78"/>
        <v>0</v>
      </c>
      <c r="AN128" s="107">
        <f t="shared" si="66"/>
        <v>0.262166666666667</v>
      </c>
      <c r="AO128" s="105">
        <f t="shared" si="79"/>
        <v>0.162866742252457</v>
      </c>
      <c r="AP128" s="106">
        <f t="shared" si="54"/>
        <v>0.1512</v>
      </c>
      <c r="AQ128" s="107">
        <f t="shared" si="67"/>
        <v>0.0132</v>
      </c>
      <c r="AR128" s="105">
        <f t="shared" si="68"/>
        <v>0.465408681752359</v>
      </c>
      <c r="AS128" s="106">
        <f t="shared" si="69"/>
        <v>16.1333333333333</v>
      </c>
      <c r="AT128" s="107">
        <f t="shared" si="70"/>
        <v>97.1961207582516</v>
      </c>
    </row>
    <row r="129" spans="17:46">
      <c r="Q129">
        <v>122</v>
      </c>
      <c r="R129" s="105">
        <f t="shared" si="43"/>
        <v>20</v>
      </c>
      <c r="S129" s="106">
        <f t="shared" si="71"/>
        <v>0.813333333333333</v>
      </c>
      <c r="T129" s="106">
        <f t="shared" si="45"/>
        <v>4</v>
      </c>
      <c r="U129" s="107">
        <f t="shared" si="72"/>
        <v>4.06666666666667</v>
      </c>
      <c r="V129" s="105">
        <f t="shared" si="73"/>
        <v>2</v>
      </c>
      <c r="W129" s="106">
        <f t="shared" si="74"/>
        <v>0.833333333333333</v>
      </c>
      <c r="X129" s="107">
        <f t="shared" si="75"/>
        <v>0.166666666666667</v>
      </c>
      <c r="Y129" s="105">
        <f t="shared" si="55"/>
        <v>0.476190476190476</v>
      </c>
      <c r="Z129" s="106">
        <f t="shared" si="56"/>
        <v>5.35619047619048</v>
      </c>
      <c r="AA129" s="106">
        <f t="shared" si="57"/>
        <v>4.06898933707692</v>
      </c>
      <c r="AB129" s="106">
        <v>0</v>
      </c>
      <c r="AC129" s="106">
        <f t="shared" si="58"/>
        <v>0.165566742252457</v>
      </c>
      <c r="AD129" s="107">
        <f t="shared" si="59"/>
        <v>0.165566742252457</v>
      </c>
      <c r="AE129" s="105">
        <f t="shared" si="60"/>
        <v>2.7562962962963</v>
      </c>
      <c r="AF129" s="106">
        <f t="shared" si="61"/>
        <v>4.06898933707692</v>
      </c>
      <c r="AG129" s="106">
        <f t="shared" si="76"/>
        <v>0.107618382464097</v>
      </c>
      <c r="AH129" s="106">
        <f t="shared" si="77"/>
        <v>-0.231788011363347</v>
      </c>
      <c r="AI129" s="107">
        <f t="shared" si="62"/>
        <v>-0.124169628899251</v>
      </c>
      <c r="AJ129" s="105">
        <f t="shared" si="63"/>
        <v>0.813333333333333</v>
      </c>
      <c r="AK129" s="106">
        <f t="shared" si="64"/>
        <v>2.09020713940353</v>
      </c>
      <c r="AL129" s="106">
        <f t="shared" si="65"/>
        <v>0.264333333333333</v>
      </c>
      <c r="AM129" s="106">
        <f t="shared" si="78"/>
        <v>0</v>
      </c>
      <c r="AN129" s="107">
        <f t="shared" si="66"/>
        <v>0.264333333333333</v>
      </c>
      <c r="AO129" s="105">
        <f t="shared" si="79"/>
        <v>0.165566742252457</v>
      </c>
      <c r="AP129" s="106">
        <f t="shared" si="54"/>
        <v>0.1512</v>
      </c>
      <c r="AQ129" s="107">
        <f t="shared" si="67"/>
        <v>0.0132</v>
      </c>
      <c r="AR129" s="105">
        <f t="shared" si="68"/>
        <v>0.470130446686539</v>
      </c>
      <c r="AS129" s="106">
        <f t="shared" si="69"/>
        <v>16.2666666666667</v>
      </c>
      <c r="AT129" s="107">
        <f t="shared" si="70"/>
        <v>97.1910369498866</v>
      </c>
    </row>
    <row r="130" spans="17:46">
      <c r="Q130">
        <v>123</v>
      </c>
      <c r="R130" s="105">
        <f t="shared" si="43"/>
        <v>20</v>
      </c>
      <c r="S130" s="106">
        <f t="shared" si="71"/>
        <v>0.82</v>
      </c>
      <c r="T130" s="106">
        <f t="shared" si="45"/>
        <v>4</v>
      </c>
      <c r="U130" s="107">
        <f t="shared" si="72"/>
        <v>4.1</v>
      </c>
      <c r="V130" s="105">
        <f t="shared" si="73"/>
        <v>2</v>
      </c>
      <c r="W130" s="106">
        <f t="shared" si="74"/>
        <v>0.833333333333333</v>
      </c>
      <c r="X130" s="107">
        <f t="shared" si="75"/>
        <v>0.166666666666667</v>
      </c>
      <c r="Y130" s="105">
        <f t="shared" si="55"/>
        <v>0.476190476190476</v>
      </c>
      <c r="Z130" s="106">
        <f t="shared" si="56"/>
        <v>5.39619047619048</v>
      </c>
      <c r="AA130" s="106">
        <f t="shared" si="57"/>
        <v>4.10230379755911</v>
      </c>
      <c r="AB130" s="106">
        <v>0</v>
      </c>
      <c r="AC130" s="106">
        <f t="shared" si="58"/>
        <v>0.168288964474679</v>
      </c>
      <c r="AD130" s="107">
        <f t="shared" si="59"/>
        <v>0.168288964474679</v>
      </c>
      <c r="AE130" s="105">
        <f t="shared" si="60"/>
        <v>2.80166666666667</v>
      </c>
      <c r="AF130" s="106">
        <f t="shared" si="61"/>
        <v>4.10230379755911</v>
      </c>
      <c r="AG130" s="106">
        <f t="shared" si="76"/>
        <v>0.109387826908541</v>
      </c>
      <c r="AH130" s="106">
        <f t="shared" si="77"/>
        <v>-0.233687913095834</v>
      </c>
      <c r="AI130" s="107">
        <f t="shared" si="62"/>
        <v>-0.124300086187293</v>
      </c>
      <c r="AJ130" s="105">
        <f t="shared" si="63"/>
        <v>0.82</v>
      </c>
      <c r="AK130" s="106">
        <f t="shared" si="64"/>
        <v>2.1065312297997</v>
      </c>
      <c r="AL130" s="106">
        <f t="shared" si="65"/>
        <v>0.2665</v>
      </c>
      <c r="AM130" s="106">
        <f t="shared" si="78"/>
        <v>0</v>
      </c>
      <c r="AN130" s="107">
        <f t="shared" si="66"/>
        <v>0.2665</v>
      </c>
      <c r="AO130" s="105">
        <f t="shared" si="79"/>
        <v>0.168288964474679</v>
      </c>
      <c r="AP130" s="106">
        <f t="shared" si="54"/>
        <v>0.1512</v>
      </c>
      <c r="AQ130" s="107">
        <f t="shared" si="67"/>
        <v>0.0132</v>
      </c>
      <c r="AR130" s="105">
        <f t="shared" si="68"/>
        <v>0.474888878287386</v>
      </c>
      <c r="AS130" s="106">
        <f t="shared" si="69"/>
        <v>16.4</v>
      </c>
      <c r="AT130" s="107">
        <f t="shared" si="70"/>
        <v>97.1858251529086</v>
      </c>
    </row>
    <row r="131" spans="17:46">
      <c r="Q131">
        <v>124</v>
      </c>
      <c r="R131" s="105">
        <f t="shared" si="43"/>
        <v>20</v>
      </c>
      <c r="S131" s="106">
        <f t="shared" si="71"/>
        <v>0.826666666666667</v>
      </c>
      <c r="T131" s="106">
        <f t="shared" si="45"/>
        <v>4</v>
      </c>
      <c r="U131" s="107">
        <f t="shared" si="72"/>
        <v>4.13333333333333</v>
      </c>
      <c r="V131" s="105">
        <f t="shared" si="73"/>
        <v>2</v>
      </c>
      <c r="W131" s="106">
        <f t="shared" si="74"/>
        <v>0.833333333333333</v>
      </c>
      <c r="X131" s="107">
        <f t="shared" si="75"/>
        <v>0.166666666666667</v>
      </c>
      <c r="Y131" s="105">
        <f t="shared" si="55"/>
        <v>0.476190476190476</v>
      </c>
      <c r="Z131" s="106">
        <f t="shared" si="56"/>
        <v>5.43619047619048</v>
      </c>
      <c r="AA131" s="106">
        <f t="shared" si="57"/>
        <v>4.1356185621878</v>
      </c>
      <c r="AB131" s="106">
        <v>0</v>
      </c>
      <c r="AC131" s="106">
        <f t="shared" si="58"/>
        <v>0.171033408919123</v>
      </c>
      <c r="AD131" s="107">
        <f t="shared" si="59"/>
        <v>0.171033408919123</v>
      </c>
      <c r="AE131" s="105">
        <f t="shared" si="60"/>
        <v>2.84740740740741</v>
      </c>
      <c r="AF131" s="106">
        <f t="shared" si="61"/>
        <v>4.1356185621878</v>
      </c>
      <c r="AG131" s="106">
        <f t="shared" si="76"/>
        <v>0.11117171579743</v>
      </c>
      <c r="AH131" s="106">
        <f t="shared" si="77"/>
        <v>-0.23558781482832</v>
      </c>
      <c r="AI131" s="107">
        <f t="shared" si="62"/>
        <v>-0.12441609903089</v>
      </c>
      <c r="AJ131" s="105">
        <f t="shared" si="63"/>
        <v>0.826666666666667</v>
      </c>
      <c r="AK131" s="106">
        <f t="shared" si="64"/>
        <v>2.12285541004627</v>
      </c>
      <c r="AL131" s="106">
        <f t="shared" si="65"/>
        <v>0.268666666666667</v>
      </c>
      <c r="AM131" s="106">
        <f t="shared" si="78"/>
        <v>0</v>
      </c>
      <c r="AN131" s="107">
        <f t="shared" si="66"/>
        <v>0.268666666666667</v>
      </c>
      <c r="AO131" s="105">
        <f t="shared" si="79"/>
        <v>0.171033408919123</v>
      </c>
      <c r="AP131" s="106">
        <f t="shared" si="54"/>
        <v>0.1512</v>
      </c>
      <c r="AQ131" s="107">
        <f t="shared" si="67"/>
        <v>0.0132</v>
      </c>
      <c r="AR131" s="105">
        <f t="shared" si="68"/>
        <v>0.4796839765549</v>
      </c>
      <c r="AS131" s="106">
        <f t="shared" si="69"/>
        <v>16.5333333333333</v>
      </c>
      <c r="AT131" s="107">
        <f t="shared" si="70"/>
        <v>97.1804885176006</v>
      </c>
    </row>
    <row r="132" spans="17:46">
      <c r="Q132">
        <v>125</v>
      </c>
      <c r="R132" s="105">
        <f t="shared" si="43"/>
        <v>20</v>
      </c>
      <c r="S132" s="106">
        <f t="shared" si="71"/>
        <v>0.833333333333333</v>
      </c>
      <c r="T132" s="106">
        <f t="shared" si="45"/>
        <v>4</v>
      </c>
      <c r="U132" s="107">
        <f t="shared" si="72"/>
        <v>4.16666666666667</v>
      </c>
      <c r="V132" s="105">
        <f t="shared" si="73"/>
        <v>2</v>
      </c>
      <c r="W132" s="106">
        <f t="shared" si="74"/>
        <v>0.833333333333333</v>
      </c>
      <c r="X132" s="107">
        <f t="shared" si="75"/>
        <v>0.166666666666667</v>
      </c>
      <c r="Y132" s="105">
        <f t="shared" si="55"/>
        <v>0.476190476190476</v>
      </c>
      <c r="Z132" s="106">
        <f t="shared" si="56"/>
        <v>5.47619047619048</v>
      </c>
      <c r="AA132" s="106">
        <f t="shared" si="57"/>
        <v>4.16893362367153</v>
      </c>
      <c r="AB132" s="106">
        <v>0</v>
      </c>
      <c r="AC132" s="106">
        <f t="shared" si="58"/>
        <v>0.17380007558579</v>
      </c>
      <c r="AD132" s="107">
        <f t="shared" si="59"/>
        <v>0.17380007558579</v>
      </c>
      <c r="AE132" s="105">
        <f t="shared" si="60"/>
        <v>2.89351851851852</v>
      </c>
      <c r="AF132" s="106">
        <f t="shared" si="61"/>
        <v>4.16893362367153</v>
      </c>
      <c r="AG132" s="106">
        <f t="shared" si="76"/>
        <v>0.112970049130763</v>
      </c>
      <c r="AH132" s="106">
        <f t="shared" si="77"/>
        <v>-0.237487716560807</v>
      </c>
      <c r="AI132" s="107">
        <f t="shared" si="62"/>
        <v>-0.124517667430043</v>
      </c>
      <c r="AJ132" s="105">
        <f t="shared" si="63"/>
        <v>0.833333333333333</v>
      </c>
      <c r="AK132" s="106">
        <f t="shared" si="64"/>
        <v>2.13917967808628</v>
      </c>
      <c r="AL132" s="106">
        <f t="shared" si="65"/>
        <v>0.270833333333333</v>
      </c>
      <c r="AM132" s="106">
        <f t="shared" si="78"/>
        <v>0</v>
      </c>
      <c r="AN132" s="107">
        <f t="shared" si="66"/>
        <v>0.270833333333333</v>
      </c>
      <c r="AO132" s="105">
        <f t="shared" si="79"/>
        <v>0.17380007558579</v>
      </c>
      <c r="AP132" s="106">
        <f t="shared" si="54"/>
        <v>0.1512</v>
      </c>
      <c r="AQ132" s="107">
        <f t="shared" si="67"/>
        <v>0.0132</v>
      </c>
      <c r="AR132" s="105">
        <f t="shared" si="68"/>
        <v>0.48451574148908</v>
      </c>
      <c r="AS132" s="106">
        <f t="shared" si="69"/>
        <v>16.6666666666667</v>
      </c>
      <c r="AT132" s="107">
        <f t="shared" si="70"/>
        <v>97.175030094376</v>
      </c>
    </row>
    <row r="133" spans="17:46">
      <c r="Q133">
        <v>126</v>
      </c>
      <c r="R133" s="105">
        <f t="shared" si="43"/>
        <v>20</v>
      </c>
      <c r="S133" s="106">
        <f t="shared" si="71"/>
        <v>0.84</v>
      </c>
      <c r="T133" s="106">
        <f t="shared" si="45"/>
        <v>4</v>
      </c>
      <c r="U133" s="107">
        <f t="shared" si="72"/>
        <v>4.2</v>
      </c>
      <c r="V133" s="105">
        <f t="shared" si="73"/>
        <v>2</v>
      </c>
      <c r="W133" s="106">
        <f t="shared" si="74"/>
        <v>0.833333333333333</v>
      </c>
      <c r="X133" s="107">
        <f t="shared" si="75"/>
        <v>0.166666666666667</v>
      </c>
      <c r="Y133" s="105">
        <f t="shared" si="55"/>
        <v>0.476190476190476</v>
      </c>
      <c r="Z133" s="106">
        <f t="shared" si="56"/>
        <v>5.51619047619048</v>
      </c>
      <c r="AA133" s="106">
        <f t="shared" si="57"/>
        <v>4.20224897494995</v>
      </c>
      <c r="AB133" s="106">
        <v>0</v>
      </c>
      <c r="AC133" s="106">
        <f t="shared" si="58"/>
        <v>0.176588964474679</v>
      </c>
      <c r="AD133" s="107">
        <f t="shared" si="59"/>
        <v>0.176588964474679</v>
      </c>
      <c r="AE133" s="105">
        <f t="shared" si="60"/>
        <v>2.94</v>
      </c>
      <c r="AF133" s="106">
        <f t="shared" si="61"/>
        <v>4.20224897494995</v>
      </c>
      <c r="AG133" s="106">
        <f t="shared" si="76"/>
        <v>0.114782826908541</v>
      </c>
      <c r="AH133" s="106">
        <f t="shared" si="77"/>
        <v>-0.239387618293293</v>
      </c>
      <c r="AI133" s="107">
        <f t="shared" si="62"/>
        <v>-0.124604791384752</v>
      </c>
      <c r="AJ133" s="105">
        <f t="shared" si="63"/>
        <v>0.84</v>
      </c>
      <c r="AK133" s="106">
        <f t="shared" si="64"/>
        <v>2.15550403192507</v>
      </c>
      <c r="AL133" s="106">
        <f t="shared" si="65"/>
        <v>0.273</v>
      </c>
      <c r="AM133" s="106">
        <f t="shared" si="78"/>
        <v>0</v>
      </c>
      <c r="AN133" s="107">
        <f t="shared" si="66"/>
        <v>0.273</v>
      </c>
      <c r="AO133" s="105">
        <f t="shared" si="79"/>
        <v>0.176588964474679</v>
      </c>
      <c r="AP133" s="106">
        <f t="shared" si="54"/>
        <v>0.1512</v>
      </c>
      <c r="AQ133" s="107">
        <f t="shared" si="67"/>
        <v>0.0132</v>
      </c>
      <c r="AR133" s="105">
        <f t="shared" si="68"/>
        <v>0.489384173089927</v>
      </c>
      <c r="AS133" s="106">
        <f t="shared" si="69"/>
        <v>16.8</v>
      </c>
      <c r="AT133" s="107">
        <f t="shared" si="70"/>
        <v>97.1694528377035</v>
      </c>
    </row>
    <row r="134" spans="17:46">
      <c r="Q134">
        <v>127</v>
      </c>
      <c r="R134" s="105">
        <f t="shared" si="43"/>
        <v>20</v>
      </c>
      <c r="S134" s="106">
        <f t="shared" si="71"/>
        <v>0.846666666666667</v>
      </c>
      <c r="T134" s="106">
        <f t="shared" si="45"/>
        <v>4</v>
      </c>
      <c r="U134" s="107">
        <f t="shared" si="72"/>
        <v>4.23333333333333</v>
      </c>
      <c r="V134" s="105">
        <f t="shared" si="73"/>
        <v>2</v>
      </c>
      <c r="W134" s="106">
        <f t="shared" si="74"/>
        <v>0.833333333333333</v>
      </c>
      <c r="X134" s="107">
        <f t="shared" si="75"/>
        <v>0.166666666666667</v>
      </c>
      <c r="Y134" s="105">
        <f t="shared" si="55"/>
        <v>0.476190476190476</v>
      </c>
      <c r="Z134" s="106">
        <f t="shared" si="56"/>
        <v>5.55619047619048</v>
      </c>
      <c r="AA134" s="106">
        <f t="shared" si="57"/>
        <v>4.23556460918482</v>
      </c>
      <c r="AB134" s="106">
        <v>0</v>
      </c>
      <c r="AC134" s="106">
        <f t="shared" si="58"/>
        <v>0.17940007558579</v>
      </c>
      <c r="AD134" s="107">
        <f t="shared" si="59"/>
        <v>0.17940007558579</v>
      </c>
      <c r="AE134" s="105">
        <f t="shared" si="60"/>
        <v>2.98685185185185</v>
      </c>
      <c r="AF134" s="106">
        <f t="shared" si="61"/>
        <v>4.23556460918482</v>
      </c>
      <c r="AG134" s="106">
        <f t="shared" si="76"/>
        <v>0.116610049130763</v>
      </c>
      <c r="AH134" s="106">
        <f t="shared" si="77"/>
        <v>-0.24128752002578</v>
      </c>
      <c r="AI134" s="107">
        <f t="shared" si="62"/>
        <v>-0.124677470895016</v>
      </c>
      <c r="AJ134" s="105">
        <f t="shared" si="63"/>
        <v>0.846666666666667</v>
      </c>
      <c r="AK134" s="106">
        <f t="shared" si="64"/>
        <v>2.17182846962796</v>
      </c>
      <c r="AL134" s="106">
        <f t="shared" si="65"/>
        <v>0.275166666666667</v>
      </c>
      <c r="AM134" s="106">
        <f t="shared" si="78"/>
        <v>0</v>
      </c>
      <c r="AN134" s="107">
        <f t="shared" si="66"/>
        <v>0.275166666666667</v>
      </c>
      <c r="AO134" s="105">
        <f t="shared" si="79"/>
        <v>0.17940007558579</v>
      </c>
      <c r="AP134" s="106">
        <f t="shared" si="54"/>
        <v>0.1512</v>
      </c>
      <c r="AQ134" s="107">
        <f t="shared" si="67"/>
        <v>0.0132</v>
      </c>
      <c r="AR134" s="105">
        <f t="shared" si="68"/>
        <v>0.49428927135744</v>
      </c>
      <c r="AS134" s="106">
        <f t="shared" si="69"/>
        <v>16.9333333333333</v>
      </c>
      <c r="AT134" s="107">
        <f t="shared" si="70"/>
        <v>97.1637596098483</v>
      </c>
    </row>
    <row r="135" spans="17:46">
      <c r="Q135">
        <v>128</v>
      </c>
      <c r="R135" s="105">
        <f t="shared" ref="R135:R157" si="80">VOUT</f>
        <v>20</v>
      </c>
      <c r="S135" s="106">
        <f t="shared" ref="S135:S157" si="81">Q135*$O$12</f>
        <v>0.853333333333333</v>
      </c>
      <c r="T135" s="106">
        <f t="shared" ref="T135:T157" si="82">VIN_var</f>
        <v>4</v>
      </c>
      <c r="U135" s="107">
        <f t="shared" ref="U135:U157" si="83">(R135*S135)/(T135*EFF_est)</f>
        <v>4.26666666666667</v>
      </c>
      <c r="V135" s="105">
        <f t="shared" ref="V135:V157" si="84">IF(S135&lt;((T135^2)*R135)/(2*Fsw*Lm*((T135+R135)^2)),1,2)</f>
        <v>2</v>
      </c>
      <c r="W135" s="106">
        <f t="shared" ref="W135:W157" si="85">CHOOSE(V135,SQRT(2*Lm*R135*S135*Fsw)/T135,R135/(T135+R135))</f>
        <v>0.833333333333333</v>
      </c>
      <c r="X135" s="107">
        <f t="shared" ref="X135:X157" si="86">CHOOSE(V135,(Lm*Z135*Fsw)/(R135),1-W135)</f>
        <v>0.166666666666667</v>
      </c>
      <c r="Y135" s="105">
        <f t="shared" si="55"/>
        <v>0.476190476190476</v>
      </c>
      <c r="Z135" s="106">
        <f t="shared" si="56"/>
        <v>5.59619047619048</v>
      </c>
      <c r="AA135" s="106">
        <f t="shared" si="57"/>
        <v>4.26888051975132</v>
      </c>
      <c r="AB135" s="106">
        <v>0</v>
      </c>
      <c r="AC135" s="106">
        <f t="shared" si="58"/>
        <v>0.182233408919123</v>
      </c>
      <c r="AD135" s="107">
        <f t="shared" si="59"/>
        <v>0.182233408919123</v>
      </c>
      <c r="AE135" s="105">
        <f t="shared" si="60"/>
        <v>3.03407407407407</v>
      </c>
      <c r="AF135" s="106">
        <f t="shared" si="61"/>
        <v>4.26888051975132</v>
      </c>
      <c r="AG135" s="106">
        <f t="shared" ref="AG135:AG157" si="87">(AF135^2)*RDS_on</f>
        <v>0.11845171579743</v>
      </c>
      <c r="AH135" s="106">
        <f t="shared" ref="AH135:AH157" si="88">(((R135+T135)*(U135+S135))/2)*Fsw*(tr_sw+tf_sw)</f>
        <v>-0.243187421758266</v>
      </c>
      <c r="AI135" s="107">
        <f t="shared" si="62"/>
        <v>-0.124735705960836</v>
      </c>
      <c r="AJ135" s="105">
        <f t="shared" si="63"/>
        <v>0.853333333333333</v>
      </c>
      <c r="AK135" s="106">
        <f t="shared" si="64"/>
        <v>2.18815298931796</v>
      </c>
      <c r="AL135" s="106">
        <f t="shared" si="65"/>
        <v>0.277333333333333</v>
      </c>
      <c r="AM135" s="106">
        <f t="shared" ref="AM135:AM157" si="89">(R135+T135+Vd_rect)*Qrr*Fsw</f>
        <v>0</v>
      </c>
      <c r="AN135" s="107">
        <f t="shared" si="66"/>
        <v>0.277333333333333</v>
      </c>
      <c r="AO135" s="105">
        <f t="shared" ref="AO135:AO157" si="90">(AF135^2)*R_cs</f>
        <v>0.182233408919123</v>
      </c>
      <c r="AP135" s="106">
        <f t="shared" ref="AP135:AP157" si="91">Qg_tot*Vcc*Fsw</f>
        <v>0.1512</v>
      </c>
      <c r="AQ135" s="107">
        <f t="shared" si="67"/>
        <v>0.0132</v>
      </c>
      <c r="AR135" s="105">
        <f t="shared" si="68"/>
        <v>0.49923103629162</v>
      </c>
      <c r="AS135" s="106">
        <f t="shared" si="69"/>
        <v>17.0666666666667</v>
      </c>
      <c r="AT135" s="107">
        <f t="shared" si="70"/>
        <v>97.157953184439</v>
      </c>
    </row>
    <row r="136" spans="17:46">
      <c r="Q136">
        <v>129</v>
      </c>
      <c r="R136" s="105">
        <f t="shared" si="80"/>
        <v>20</v>
      </c>
      <c r="S136" s="106">
        <f t="shared" si="81"/>
        <v>0.86</v>
      </c>
      <c r="T136" s="106">
        <f t="shared" si="82"/>
        <v>4</v>
      </c>
      <c r="U136" s="107">
        <f t="shared" si="83"/>
        <v>4.3</v>
      </c>
      <c r="V136" s="105">
        <f t="shared" si="84"/>
        <v>2</v>
      </c>
      <c r="W136" s="106">
        <f t="shared" si="85"/>
        <v>0.833333333333333</v>
      </c>
      <c r="X136" s="107">
        <f t="shared" si="86"/>
        <v>0.166666666666667</v>
      </c>
      <c r="Y136" s="105">
        <f t="shared" ref="Y136:Y157" si="92">(T136*W136)/(Lm*Fsw)</f>
        <v>0.476190476190476</v>
      </c>
      <c r="Z136" s="106">
        <f t="shared" ref="Z136:Z157" si="93">CHOOSE(V136,Y136,U136+S136+(Y136))</f>
        <v>5.63619047619048</v>
      </c>
      <c r="AA136" s="106">
        <f t="shared" ref="AA136:AA157" si="94">CHOOSE(V136,Z136*SQRT((W136+X136)/3),SQRT((U136^2)+((Y136^2)/12)))</f>
        <v>4.30219670022977</v>
      </c>
      <c r="AB136" s="106">
        <v>0</v>
      </c>
      <c r="AC136" s="106">
        <f t="shared" ref="AC136:AC157" si="95">(AA136^2)*Rdcr</f>
        <v>0.185088964474679</v>
      </c>
      <c r="AD136" s="107">
        <f t="shared" ref="AD136:AD157" si="96">AB136+AC136</f>
        <v>0.185088964474679</v>
      </c>
      <c r="AE136" s="105">
        <f t="shared" ref="AE136:AE157" si="97">U136*S136*W136</f>
        <v>3.08166666666667</v>
      </c>
      <c r="AF136" s="106">
        <f t="shared" ref="AF136:AF157" si="98">AA136</f>
        <v>4.30219670022977</v>
      </c>
      <c r="AG136" s="106">
        <f t="shared" si="87"/>
        <v>0.120307826908541</v>
      </c>
      <c r="AH136" s="106">
        <f t="shared" si="88"/>
        <v>-0.245087323490753</v>
      </c>
      <c r="AI136" s="107">
        <f t="shared" ref="AI136:AI157" si="99">AG136+AH136</f>
        <v>-0.124779496582211</v>
      </c>
      <c r="AJ136" s="105">
        <f t="shared" ref="AJ136:AJ157" si="100">S136</f>
        <v>0.86</v>
      </c>
      <c r="AK136" s="106">
        <f t="shared" ref="AK136:AK157" si="101">CHOOSE(V136,Z136*SQRT(X136/3),SQRT(X136*((Z136^2)+((Y136^2)/3)-(Y136*Z136))))</f>
        <v>2.20447758917369</v>
      </c>
      <c r="AL136" s="106">
        <f t="shared" ref="AL136:AL157" si="102">S136*Vd_rect</f>
        <v>0.2795</v>
      </c>
      <c r="AM136" s="106">
        <f t="shared" si="89"/>
        <v>0</v>
      </c>
      <c r="AN136" s="107">
        <f t="shared" ref="AN136:AN157" si="103">AL136+AM136</f>
        <v>0.2795</v>
      </c>
      <c r="AO136" s="105">
        <f t="shared" si="90"/>
        <v>0.185088964474679</v>
      </c>
      <c r="AP136" s="106">
        <f t="shared" si="91"/>
        <v>0.1512</v>
      </c>
      <c r="AQ136" s="107">
        <f t="shared" ref="AQ136:AQ157" si="104">IQ*T136</f>
        <v>0.0132</v>
      </c>
      <c r="AR136" s="105">
        <f t="shared" ref="AR136:AR157" si="105">AO136+AN136+AI136+AP136+AQ136</f>
        <v>0.504209467892467</v>
      </c>
      <c r="AS136" s="106">
        <f t="shared" ref="AS136:AS157" si="106">R136*S136</f>
        <v>17.2</v>
      </c>
      <c r="AT136" s="107">
        <f t="shared" ref="AT136:AT157" si="107">(AS136/(AS136+AR136))*100</f>
        <v>97.1520362498711</v>
      </c>
    </row>
    <row r="137" spans="17:46">
      <c r="Q137">
        <v>130</v>
      </c>
      <c r="R137" s="105">
        <f t="shared" si="80"/>
        <v>20</v>
      </c>
      <c r="S137" s="106">
        <f t="shared" si="81"/>
        <v>0.866666666666667</v>
      </c>
      <c r="T137" s="106">
        <f t="shared" si="82"/>
        <v>4</v>
      </c>
      <c r="U137" s="107">
        <f t="shared" si="83"/>
        <v>4.33333333333333</v>
      </c>
      <c r="V137" s="105">
        <f t="shared" si="84"/>
        <v>2</v>
      </c>
      <c r="W137" s="106">
        <f t="shared" si="85"/>
        <v>0.833333333333333</v>
      </c>
      <c r="X137" s="107">
        <f t="shared" si="86"/>
        <v>0.166666666666667</v>
      </c>
      <c r="Y137" s="105">
        <f t="shared" si="92"/>
        <v>0.476190476190476</v>
      </c>
      <c r="Z137" s="106">
        <f t="shared" si="93"/>
        <v>5.67619047619048</v>
      </c>
      <c r="AA137" s="106">
        <f t="shared" si="94"/>
        <v>4.33551314439775</v>
      </c>
      <c r="AB137" s="106">
        <v>0</v>
      </c>
      <c r="AC137" s="106">
        <f t="shared" si="95"/>
        <v>0.187966742252457</v>
      </c>
      <c r="AD137" s="107">
        <f t="shared" si="96"/>
        <v>0.187966742252457</v>
      </c>
      <c r="AE137" s="105">
        <f t="shared" si="97"/>
        <v>3.12962962962963</v>
      </c>
      <c r="AF137" s="106">
        <f t="shared" si="98"/>
        <v>4.33551314439775</v>
      </c>
      <c r="AG137" s="106">
        <f t="shared" si="87"/>
        <v>0.122178382464097</v>
      </c>
      <c r="AH137" s="106">
        <f t="shared" si="88"/>
        <v>-0.246987225223239</v>
      </c>
      <c r="AI137" s="107">
        <f t="shared" si="99"/>
        <v>-0.124808842759142</v>
      </c>
      <c r="AJ137" s="105">
        <f t="shared" si="100"/>
        <v>0.866666666666667</v>
      </c>
      <c r="AK137" s="106">
        <f t="shared" si="101"/>
        <v>2.22080226742732</v>
      </c>
      <c r="AL137" s="106">
        <f t="shared" si="102"/>
        <v>0.281666666666667</v>
      </c>
      <c r="AM137" s="106">
        <f t="shared" si="89"/>
        <v>0</v>
      </c>
      <c r="AN137" s="107">
        <f t="shared" si="103"/>
        <v>0.281666666666667</v>
      </c>
      <c r="AO137" s="105">
        <f t="shared" si="90"/>
        <v>0.187966742252457</v>
      </c>
      <c r="AP137" s="106">
        <f t="shared" si="91"/>
        <v>0.1512</v>
      </c>
      <c r="AQ137" s="107">
        <f t="shared" si="104"/>
        <v>0.0132</v>
      </c>
      <c r="AR137" s="105">
        <f t="shared" si="105"/>
        <v>0.509224566159981</v>
      </c>
      <c r="AS137" s="106">
        <f t="shared" si="106"/>
        <v>17.3333333333333</v>
      </c>
      <c r="AT137" s="107">
        <f t="shared" si="107"/>
        <v>97.146011412554</v>
      </c>
    </row>
    <row r="138" spans="17:46">
      <c r="Q138">
        <v>131</v>
      </c>
      <c r="R138" s="105">
        <f t="shared" si="80"/>
        <v>20</v>
      </c>
      <c r="S138" s="106">
        <f t="shared" si="81"/>
        <v>0.873333333333333</v>
      </c>
      <c r="T138" s="106">
        <f t="shared" si="82"/>
        <v>4</v>
      </c>
      <c r="U138" s="107">
        <f t="shared" si="83"/>
        <v>4.36666666666667</v>
      </c>
      <c r="V138" s="105">
        <f t="shared" si="84"/>
        <v>2</v>
      </c>
      <c r="W138" s="106">
        <f t="shared" si="85"/>
        <v>0.833333333333333</v>
      </c>
      <c r="X138" s="107">
        <f t="shared" si="86"/>
        <v>0.166666666666667</v>
      </c>
      <c r="Y138" s="105">
        <f t="shared" si="92"/>
        <v>0.476190476190476</v>
      </c>
      <c r="Z138" s="106">
        <f t="shared" si="93"/>
        <v>5.71619047619048</v>
      </c>
      <c r="AA138" s="106">
        <f t="shared" si="94"/>
        <v>4.36882984622263</v>
      </c>
      <c r="AB138" s="106">
        <v>0</v>
      </c>
      <c r="AC138" s="106">
        <f t="shared" si="95"/>
        <v>0.190866742252457</v>
      </c>
      <c r="AD138" s="107">
        <f t="shared" si="96"/>
        <v>0.190866742252457</v>
      </c>
      <c r="AE138" s="105">
        <f t="shared" si="97"/>
        <v>3.17796296296296</v>
      </c>
      <c r="AF138" s="106">
        <f t="shared" si="98"/>
        <v>4.36882984622263</v>
      </c>
      <c r="AG138" s="106">
        <f t="shared" si="87"/>
        <v>0.124063382464097</v>
      </c>
      <c r="AH138" s="106">
        <f t="shared" si="88"/>
        <v>-0.248887126955725</v>
      </c>
      <c r="AI138" s="107">
        <f t="shared" si="99"/>
        <v>-0.124823744491629</v>
      </c>
      <c r="AJ138" s="105">
        <f t="shared" si="100"/>
        <v>0.873333333333333</v>
      </c>
      <c r="AK138" s="106">
        <f t="shared" si="101"/>
        <v>2.2371270223626</v>
      </c>
      <c r="AL138" s="106">
        <f t="shared" si="102"/>
        <v>0.283833333333333</v>
      </c>
      <c r="AM138" s="106">
        <f t="shared" si="89"/>
        <v>0</v>
      </c>
      <c r="AN138" s="107">
        <f t="shared" si="103"/>
        <v>0.283833333333333</v>
      </c>
      <c r="AO138" s="105">
        <f t="shared" si="90"/>
        <v>0.190866742252457</v>
      </c>
      <c r="AP138" s="106">
        <f t="shared" si="91"/>
        <v>0.1512</v>
      </c>
      <c r="AQ138" s="107">
        <f t="shared" si="104"/>
        <v>0.0132</v>
      </c>
      <c r="AR138" s="105">
        <f t="shared" si="105"/>
        <v>0.514276331094161</v>
      </c>
      <c r="AS138" s="106">
        <f t="shared" si="106"/>
        <v>17.4666666666667</v>
      </c>
      <c r="AT138" s="107">
        <f t="shared" si="107"/>
        <v>97.1398812000116</v>
      </c>
    </row>
    <row r="139" spans="17:46">
      <c r="Q139">
        <v>132</v>
      </c>
      <c r="R139" s="105">
        <f t="shared" si="80"/>
        <v>20</v>
      </c>
      <c r="S139" s="106">
        <f t="shared" si="81"/>
        <v>0.88</v>
      </c>
      <c r="T139" s="106">
        <f t="shared" si="82"/>
        <v>4</v>
      </c>
      <c r="U139" s="107">
        <f t="shared" si="83"/>
        <v>4.4</v>
      </c>
      <c r="V139" s="105">
        <f t="shared" si="84"/>
        <v>2</v>
      </c>
      <c r="W139" s="106">
        <f t="shared" si="85"/>
        <v>0.833333333333333</v>
      </c>
      <c r="X139" s="107">
        <f t="shared" si="86"/>
        <v>0.166666666666667</v>
      </c>
      <c r="Y139" s="105">
        <f t="shared" si="92"/>
        <v>0.476190476190476</v>
      </c>
      <c r="Z139" s="106">
        <f t="shared" si="93"/>
        <v>5.75619047619048</v>
      </c>
      <c r="AA139" s="106">
        <f t="shared" si="94"/>
        <v>4.40214679985435</v>
      </c>
      <c r="AB139" s="106">
        <v>0</v>
      </c>
      <c r="AC139" s="106">
        <f t="shared" si="95"/>
        <v>0.193788964474679</v>
      </c>
      <c r="AD139" s="107">
        <f t="shared" si="96"/>
        <v>0.193788964474679</v>
      </c>
      <c r="AE139" s="105">
        <f t="shared" si="97"/>
        <v>3.22666666666667</v>
      </c>
      <c r="AF139" s="106">
        <f t="shared" si="98"/>
        <v>4.40214679985435</v>
      </c>
      <c r="AG139" s="106">
        <f t="shared" si="87"/>
        <v>0.125962826908541</v>
      </c>
      <c r="AH139" s="106">
        <f t="shared" si="88"/>
        <v>-0.250787028688212</v>
      </c>
      <c r="AI139" s="107">
        <f t="shared" si="99"/>
        <v>-0.124824201779671</v>
      </c>
      <c r="AJ139" s="105">
        <f t="shared" si="100"/>
        <v>0.88</v>
      </c>
      <c r="AK139" s="106">
        <f t="shared" si="101"/>
        <v>2.25345185231299</v>
      </c>
      <c r="AL139" s="106">
        <f t="shared" si="102"/>
        <v>0.286</v>
      </c>
      <c r="AM139" s="106">
        <f t="shared" si="89"/>
        <v>0</v>
      </c>
      <c r="AN139" s="107">
        <f t="shared" si="103"/>
        <v>0.286</v>
      </c>
      <c r="AO139" s="105">
        <f t="shared" si="90"/>
        <v>0.193788964474679</v>
      </c>
      <c r="AP139" s="106">
        <f t="shared" si="91"/>
        <v>0.1512</v>
      </c>
      <c r="AQ139" s="107">
        <f t="shared" si="104"/>
        <v>0.0132</v>
      </c>
      <c r="AR139" s="105">
        <f t="shared" si="105"/>
        <v>0.519364762695008</v>
      </c>
      <c r="AS139" s="106">
        <f t="shared" si="106"/>
        <v>17.6</v>
      </c>
      <c r="AT139" s="107">
        <f t="shared" si="107"/>
        <v>97.1336480638422</v>
      </c>
    </row>
    <row r="140" spans="17:46">
      <c r="Q140">
        <v>133</v>
      </c>
      <c r="R140" s="105">
        <f t="shared" si="80"/>
        <v>20</v>
      </c>
      <c r="S140" s="106">
        <f t="shared" si="81"/>
        <v>0.886666666666667</v>
      </c>
      <c r="T140" s="106">
        <f t="shared" si="82"/>
        <v>4</v>
      </c>
      <c r="U140" s="107">
        <f t="shared" si="83"/>
        <v>4.43333333333333</v>
      </c>
      <c r="V140" s="105">
        <f t="shared" si="84"/>
        <v>2</v>
      </c>
      <c r="W140" s="106">
        <f t="shared" si="85"/>
        <v>0.833333333333333</v>
      </c>
      <c r="X140" s="107">
        <f t="shared" si="86"/>
        <v>0.166666666666667</v>
      </c>
      <c r="Y140" s="105">
        <f t="shared" si="92"/>
        <v>0.476190476190476</v>
      </c>
      <c r="Z140" s="106">
        <f t="shared" si="93"/>
        <v>5.79619047619048</v>
      </c>
      <c r="AA140" s="106">
        <f t="shared" si="94"/>
        <v>4.43546399961857</v>
      </c>
      <c r="AB140" s="106">
        <v>0</v>
      </c>
      <c r="AC140" s="106">
        <f t="shared" si="95"/>
        <v>0.196733408919123</v>
      </c>
      <c r="AD140" s="107">
        <f t="shared" si="96"/>
        <v>0.196733408919123</v>
      </c>
      <c r="AE140" s="105">
        <f t="shared" si="97"/>
        <v>3.27574074074074</v>
      </c>
      <c r="AF140" s="106">
        <f t="shared" si="98"/>
        <v>4.43546399961857</v>
      </c>
      <c r="AG140" s="106">
        <f t="shared" si="87"/>
        <v>0.12787671579743</v>
      </c>
      <c r="AH140" s="106">
        <f t="shared" si="88"/>
        <v>-0.252686930420698</v>
      </c>
      <c r="AI140" s="107">
        <f t="shared" si="99"/>
        <v>-0.124810214623268</v>
      </c>
      <c r="AJ140" s="105">
        <f t="shared" si="100"/>
        <v>0.886666666666667</v>
      </c>
      <c r="AK140" s="106">
        <f t="shared" si="101"/>
        <v>2.26977675565993</v>
      </c>
      <c r="AL140" s="106">
        <f t="shared" si="102"/>
        <v>0.288166666666667</v>
      </c>
      <c r="AM140" s="106">
        <f t="shared" si="89"/>
        <v>0</v>
      </c>
      <c r="AN140" s="107">
        <f t="shared" si="103"/>
        <v>0.288166666666667</v>
      </c>
      <c r="AO140" s="105">
        <f t="shared" si="90"/>
        <v>0.196733408919123</v>
      </c>
      <c r="AP140" s="106">
        <f t="shared" si="91"/>
        <v>0.1512</v>
      </c>
      <c r="AQ140" s="107">
        <f t="shared" si="104"/>
        <v>0.0132</v>
      </c>
      <c r="AR140" s="105">
        <f t="shared" si="105"/>
        <v>0.524489860962522</v>
      </c>
      <c r="AS140" s="106">
        <f t="shared" si="106"/>
        <v>17.7333333333333</v>
      </c>
      <c r="AT140" s="107">
        <f t="shared" si="107"/>
        <v>97.1273143825471</v>
      </c>
    </row>
    <row r="141" spans="17:46">
      <c r="Q141">
        <v>134</v>
      </c>
      <c r="R141" s="105">
        <f t="shared" si="80"/>
        <v>20</v>
      </c>
      <c r="S141" s="106">
        <f t="shared" si="81"/>
        <v>0.893333333333333</v>
      </c>
      <c r="T141" s="106">
        <f t="shared" si="82"/>
        <v>4</v>
      </c>
      <c r="U141" s="107">
        <f t="shared" si="83"/>
        <v>4.46666666666667</v>
      </c>
      <c r="V141" s="105">
        <f t="shared" si="84"/>
        <v>2</v>
      </c>
      <c r="W141" s="106">
        <f t="shared" si="85"/>
        <v>0.833333333333333</v>
      </c>
      <c r="X141" s="107">
        <f t="shared" si="86"/>
        <v>0.166666666666667</v>
      </c>
      <c r="Y141" s="105">
        <f t="shared" si="92"/>
        <v>0.476190476190476</v>
      </c>
      <c r="Z141" s="106">
        <f t="shared" si="93"/>
        <v>5.83619047619048</v>
      </c>
      <c r="AA141" s="106">
        <f t="shared" si="94"/>
        <v>4.46878144001013</v>
      </c>
      <c r="AB141" s="106">
        <v>0</v>
      </c>
      <c r="AC141" s="106">
        <f t="shared" si="95"/>
        <v>0.19970007558579</v>
      </c>
      <c r="AD141" s="107">
        <f t="shared" si="96"/>
        <v>0.19970007558579</v>
      </c>
      <c r="AE141" s="105">
        <f t="shared" si="97"/>
        <v>3.32518518518519</v>
      </c>
      <c r="AF141" s="106">
        <f t="shared" si="98"/>
        <v>4.46878144001013</v>
      </c>
      <c r="AG141" s="106">
        <f t="shared" si="87"/>
        <v>0.129805049130763</v>
      </c>
      <c r="AH141" s="106">
        <f t="shared" si="88"/>
        <v>-0.254586832153185</v>
      </c>
      <c r="AI141" s="107">
        <f t="shared" si="99"/>
        <v>-0.124781783022421</v>
      </c>
      <c r="AJ141" s="105">
        <f t="shared" si="100"/>
        <v>0.893333333333333</v>
      </c>
      <c r="AK141" s="106">
        <f t="shared" si="101"/>
        <v>2.28610173083105</v>
      </c>
      <c r="AL141" s="106">
        <f t="shared" si="102"/>
        <v>0.290333333333333</v>
      </c>
      <c r="AM141" s="106">
        <f t="shared" si="89"/>
        <v>0</v>
      </c>
      <c r="AN141" s="107">
        <f t="shared" si="103"/>
        <v>0.290333333333333</v>
      </c>
      <c r="AO141" s="105">
        <f t="shared" si="90"/>
        <v>0.19970007558579</v>
      </c>
      <c r="AP141" s="106">
        <f t="shared" si="91"/>
        <v>0.1512</v>
      </c>
      <c r="AQ141" s="107">
        <f t="shared" si="104"/>
        <v>0.0132</v>
      </c>
      <c r="AR141" s="105">
        <f t="shared" si="105"/>
        <v>0.529651625896702</v>
      </c>
      <c r="AS141" s="106">
        <f t="shared" si="106"/>
        <v>17.8666666666667</v>
      </c>
      <c r="AT141" s="107">
        <f t="shared" si="107"/>
        <v>97.120882464233</v>
      </c>
    </row>
    <row r="142" spans="17:46">
      <c r="Q142">
        <v>135</v>
      </c>
      <c r="R142" s="105">
        <f t="shared" si="80"/>
        <v>20</v>
      </c>
      <c r="S142" s="106">
        <f t="shared" si="81"/>
        <v>0.9</v>
      </c>
      <c r="T142" s="106">
        <f t="shared" si="82"/>
        <v>4</v>
      </c>
      <c r="U142" s="107">
        <f t="shared" si="83"/>
        <v>4.5</v>
      </c>
      <c r="V142" s="105">
        <f t="shared" si="84"/>
        <v>2</v>
      </c>
      <c r="W142" s="106">
        <f t="shared" si="85"/>
        <v>0.833333333333333</v>
      </c>
      <c r="X142" s="107">
        <f t="shared" si="86"/>
        <v>0.166666666666667</v>
      </c>
      <c r="Y142" s="105">
        <f t="shared" si="92"/>
        <v>0.476190476190476</v>
      </c>
      <c r="Z142" s="106">
        <f t="shared" si="93"/>
        <v>5.87619047619048</v>
      </c>
      <c r="AA142" s="106">
        <f t="shared" si="94"/>
        <v>4.5020991156868</v>
      </c>
      <c r="AB142" s="106">
        <v>0</v>
      </c>
      <c r="AC142" s="106">
        <f t="shared" si="95"/>
        <v>0.202688964474679</v>
      </c>
      <c r="AD142" s="107">
        <f t="shared" si="96"/>
        <v>0.202688964474679</v>
      </c>
      <c r="AE142" s="105">
        <f t="shared" si="97"/>
        <v>3.375</v>
      </c>
      <c r="AF142" s="106">
        <f t="shared" si="98"/>
        <v>4.5020991156868</v>
      </c>
      <c r="AG142" s="106">
        <f t="shared" si="87"/>
        <v>0.131747826908541</v>
      </c>
      <c r="AH142" s="106">
        <f t="shared" si="88"/>
        <v>-0.256486733885671</v>
      </c>
      <c r="AI142" s="107">
        <f t="shared" si="99"/>
        <v>-0.12473890697713</v>
      </c>
      <c r="AJ142" s="105">
        <f t="shared" si="100"/>
        <v>0.9</v>
      </c>
      <c r="AK142" s="106">
        <f t="shared" si="101"/>
        <v>2.30242677629858</v>
      </c>
      <c r="AL142" s="106">
        <f t="shared" si="102"/>
        <v>0.2925</v>
      </c>
      <c r="AM142" s="106">
        <f t="shared" si="89"/>
        <v>0</v>
      </c>
      <c r="AN142" s="107">
        <f t="shared" si="103"/>
        <v>0.2925</v>
      </c>
      <c r="AO142" s="105">
        <f t="shared" si="90"/>
        <v>0.202688964474679</v>
      </c>
      <c r="AP142" s="106">
        <f t="shared" si="91"/>
        <v>0.1512</v>
      </c>
      <c r="AQ142" s="107">
        <f t="shared" si="104"/>
        <v>0.0132</v>
      </c>
      <c r="AR142" s="105">
        <f t="shared" si="105"/>
        <v>0.534850057497549</v>
      </c>
      <c r="AS142" s="106">
        <f t="shared" si="106"/>
        <v>18</v>
      </c>
      <c r="AT142" s="107">
        <f t="shared" si="107"/>
        <v>97.1143545491958</v>
      </c>
    </row>
    <row r="143" spans="17:46">
      <c r="Q143">
        <v>136</v>
      </c>
      <c r="R143" s="105">
        <f t="shared" si="80"/>
        <v>20</v>
      </c>
      <c r="S143" s="106">
        <f t="shared" si="81"/>
        <v>0.906666666666667</v>
      </c>
      <c r="T143" s="106">
        <f t="shared" si="82"/>
        <v>4</v>
      </c>
      <c r="U143" s="107">
        <f t="shared" si="83"/>
        <v>4.53333333333333</v>
      </c>
      <c r="V143" s="105">
        <f t="shared" si="84"/>
        <v>2</v>
      </c>
      <c r="W143" s="106">
        <f t="shared" si="85"/>
        <v>0.833333333333333</v>
      </c>
      <c r="X143" s="107">
        <f t="shared" si="86"/>
        <v>0.166666666666667</v>
      </c>
      <c r="Y143" s="105">
        <f t="shared" si="92"/>
        <v>0.476190476190476</v>
      </c>
      <c r="Z143" s="106">
        <f t="shared" si="93"/>
        <v>5.91619047619048</v>
      </c>
      <c r="AA143" s="106">
        <f t="shared" si="94"/>
        <v>4.53541702146329</v>
      </c>
      <c r="AB143" s="106">
        <v>0</v>
      </c>
      <c r="AC143" s="106">
        <f t="shared" si="95"/>
        <v>0.20570007558579</v>
      </c>
      <c r="AD143" s="107">
        <f t="shared" si="96"/>
        <v>0.20570007558579</v>
      </c>
      <c r="AE143" s="105">
        <f t="shared" si="97"/>
        <v>3.42518518518519</v>
      </c>
      <c r="AF143" s="106">
        <f t="shared" si="98"/>
        <v>4.53541702146329</v>
      </c>
      <c r="AG143" s="106">
        <f t="shared" si="87"/>
        <v>0.133705049130763</v>
      </c>
      <c r="AH143" s="106">
        <f t="shared" si="88"/>
        <v>-0.258386635618158</v>
      </c>
      <c r="AI143" s="107">
        <f t="shared" si="99"/>
        <v>-0.124681586487394</v>
      </c>
      <c r="AJ143" s="105">
        <f t="shared" si="100"/>
        <v>0.906666666666667</v>
      </c>
      <c r="AK143" s="106">
        <f t="shared" si="101"/>
        <v>2.31875189057776</v>
      </c>
      <c r="AL143" s="106">
        <f t="shared" si="102"/>
        <v>0.294666666666667</v>
      </c>
      <c r="AM143" s="106">
        <f t="shared" si="89"/>
        <v>0</v>
      </c>
      <c r="AN143" s="107">
        <f t="shared" si="103"/>
        <v>0.294666666666667</v>
      </c>
      <c r="AO143" s="105">
        <f t="shared" si="90"/>
        <v>0.20570007558579</v>
      </c>
      <c r="AP143" s="106">
        <f t="shared" si="91"/>
        <v>0.1512</v>
      </c>
      <c r="AQ143" s="107">
        <f t="shared" si="104"/>
        <v>0.0132</v>
      </c>
      <c r="AR143" s="105">
        <f t="shared" si="105"/>
        <v>0.540085155765062</v>
      </c>
      <c r="AS143" s="106">
        <f t="shared" si="106"/>
        <v>18.1333333333333</v>
      </c>
      <c r="AT143" s="107">
        <f t="shared" si="107"/>
        <v>97.1077328123912</v>
      </c>
    </row>
    <row r="144" spans="17:46">
      <c r="Q144">
        <v>137</v>
      </c>
      <c r="R144" s="105">
        <f t="shared" si="80"/>
        <v>20</v>
      </c>
      <c r="S144" s="106">
        <f t="shared" si="81"/>
        <v>0.913333333333333</v>
      </c>
      <c r="T144" s="106">
        <f t="shared" si="82"/>
        <v>4</v>
      </c>
      <c r="U144" s="107">
        <f t="shared" si="83"/>
        <v>4.56666666666667</v>
      </c>
      <c r="V144" s="105">
        <f t="shared" si="84"/>
        <v>2</v>
      </c>
      <c r="W144" s="106">
        <f t="shared" si="85"/>
        <v>0.833333333333333</v>
      </c>
      <c r="X144" s="107">
        <f t="shared" si="86"/>
        <v>0.166666666666667</v>
      </c>
      <c r="Y144" s="105">
        <f t="shared" si="92"/>
        <v>0.476190476190476</v>
      </c>
      <c r="Z144" s="106">
        <f t="shared" si="93"/>
        <v>5.95619047619048</v>
      </c>
      <c r="AA144" s="106">
        <f t="shared" si="94"/>
        <v>4.56873515230554</v>
      </c>
      <c r="AB144" s="106">
        <v>0</v>
      </c>
      <c r="AC144" s="106">
        <f t="shared" si="95"/>
        <v>0.208733408919123</v>
      </c>
      <c r="AD144" s="107">
        <f t="shared" si="96"/>
        <v>0.208733408919123</v>
      </c>
      <c r="AE144" s="105">
        <f t="shared" si="97"/>
        <v>3.47574074074074</v>
      </c>
      <c r="AF144" s="106">
        <f t="shared" si="98"/>
        <v>4.56873515230554</v>
      </c>
      <c r="AG144" s="106">
        <f t="shared" si="87"/>
        <v>0.13567671579743</v>
      </c>
      <c r="AH144" s="106">
        <f t="shared" si="88"/>
        <v>-0.260286537350644</v>
      </c>
      <c r="AI144" s="107">
        <f t="shared" si="99"/>
        <v>-0.124609821553214</v>
      </c>
      <c r="AJ144" s="105">
        <f t="shared" si="100"/>
        <v>0.913333333333333</v>
      </c>
      <c r="AK144" s="106">
        <f t="shared" si="101"/>
        <v>2.33507707222536</v>
      </c>
      <c r="AL144" s="106">
        <f t="shared" si="102"/>
        <v>0.296833333333333</v>
      </c>
      <c r="AM144" s="106">
        <f t="shared" si="89"/>
        <v>0</v>
      </c>
      <c r="AN144" s="107">
        <f t="shared" si="103"/>
        <v>0.296833333333333</v>
      </c>
      <c r="AO144" s="105">
        <f t="shared" si="90"/>
        <v>0.208733408919123</v>
      </c>
      <c r="AP144" s="106">
        <f t="shared" si="91"/>
        <v>0.1512</v>
      </c>
      <c r="AQ144" s="107">
        <f t="shared" si="104"/>
        <v>0.0132</v>
      </c>
      <c r="AR144" s="105">
        <f t="shared" si="105"/>
        <v>0.545356920699243</v>
      </c>
      <c r="AS144" s="106">
        <f t="shared" si="106"/>
        <v>18.2666666666667</v>
      </c>
      <c r="AT144" s="107">
        <f t="shared" si="107"/>
        <v>97.1010193657981</v>
      </c>
    </row>
    <row r="145" spans="17:46">
      <c r="Q145">
        <v>138</v>
      </c>
      <c r="R145" s="105">
        <f t="shared" si="80"/>
        <v>20</v>
      </c>
      <c r="S145" s="106">
        <f t="shared" si="81"/>
        <v>0.92</v>
      </c>
      <c r="T145" s="106">
        <f t="shared" si="82"/>
        <v>4</v>
      </c>
      <c r="U145" s="107">
        <f t="shared" si="83"/>
        <v>4.6</v>
      </c>
      <c r="V145" s="105">
        <f t="shared" si="84"/>
        <v>2</v>
      </c>
      <c r="W145" s="106">
        <f t="shared" si="85"/>
        <v>0.833333333333333</v>
      </c>
      <c r="X145" s="107">
        <f t="shared" si="86"/>
        <v>0.166666666666667</v>
      </c>
      <c r="Y145" s="105">
        <f t="shared" si="92"/>
        <v>0.476190476190476</v>
      </c>
      <c r="Z145" s="106">
        <f t="shared" si="93"/>
        <v>5.99619047619048</v>
      </c>
      <c r="AA145" s="106">
        <f t="shared" si="94"/>
        <v>4.60205350332522</v>
      </c>
      <c r="AB145" s="106">
        <v>0</v>
      </c>
      <c r="AC145" s="106">
        <f t="shared" si="95"/>
        <v>0.211788964474679</v>
      </c>
      <c r="AD145" s="107">
        <f t="shared" si="96"/>
        <v>0.211788964474679</v>
      </c>
      <c r="AE145" s="105">
        <f t="shared" si="97"/>
        <v>3.52666666666667</v>
      </c>
      <c r="AF145" s="106">
        <f t="shared" si="98"/>
        <v>4.60205350332522</v>
      </c>
      <c r="AG145" s="106">
        <f t="shared" si="87"/>
        <v>0.137662826908541</v>
      </c>
      <c r="AH145" s="106">
        <f t="shared" si="88"/>
        <v>-0.262186439083131</v>
      </c>
      <c r="AI145" s="107">
        <f t="shared" si="99"/>
        <v>-0.124523612174589</v>
      </c>
      <c r="AJ145" s="105">
        <f t="shared" si="100"/>
        <v>0.92</v>
      </c>
      <c r="AK145" s="106">
        <f t="shared" si="101"/>
        <v>2.3514023198382</v>
      </c>
      <c r="AL145" s="106">
        <f t="shared" si="102"/>
        <v>0.299</v>
      </c>
      <c r="AM145" s="106">
        <f t="shared" si="89"/>
        <v>0</v>
      </c>
      <c r="AN145" s="107">
        <f t="shared" si="103"/>
        <v>0.299</v>
      </c>
      <c r="AO145" s="105">
        <f t="shared" si="90"/>
        <v>0.211788964474679</v>
      </c>
      <c r="AP145" s="106">
        <f t="shared" si="91"/>
        <v>0.1512</v>
      </c>
      <c r="AQ145" s="107">
        <f t="shared" si="104"/>
        <v>0.0132</v>
      </c>
      <c r="AR145" s="105">
        <f t="shared" si="105"/>
        <v>0.55066535230009</v>
      </c>
      <c r="AS145" s="106">
        <f t="shared" si="106"/>
        <v>18.4</v>
      </c>
      <c r="AT145" s="107">
        <f t="shared" si="107"/>
        <v>97.09421626068</v>
      </c>
    </row>
    <row r="146" spans="17:46">
      <c r="Q146">
        <v>139</v>
      </c>
      <c r="R146" s="105">
        <f t="shared" si="80"/>
        <v>20</v>
      </c>
      <c r="S146" s="106">
        <f t="shared" si="81"/>
        <v>0.926666666666667</v>
      </c>
      <c r="T146" s="106">
        <f t="shared" si="82"/>
        <v>4</v>
      </c>
      <c r="U146" s="107">
        <f t="shared" si="83"/>
        <v>4.63333333333333</v>
      </c>
      <c r="V146" s="105">
        <f t="shared" si="84"/>
        <v>2</v>
      </c>
      <c r="W146" s="106">
        <f t="shared" si="85"/>
        <v>0.833333333333333</v>
      </c>
      <c r="X146" s="107">
        <f t="shared" si="86"/>
        <v>0.166666666666667</v>
      </c>
      <c r="Y146" s="105">
        <f t="shared" si="92"/>
        <v>0.476190476190476</v>
      </c>
      <c r="Z146" s="106">
        <f t="shared" si="93"/>
        <v>6.03619047619048</v>
      </c>
      <c r="AA146" s="106">
        <f t="shared" si="94"/>
        <v>4.63537206977451</v>
      </c>
      <c r="AB146" s="106">
        <v>0</v>
      </c>
      <c r="AC146" s="106">
        <f t="shared" si="95"/>
        <v>0.214866742252457</v>
      </c>
      <c r="AD146" s="107">
        <f t="shared" si="96"/>
        <v>0.214866742252457</v>
      </c>
      <c r="AE146" s="105">
        <f t="shared" si="97"/>
        <v>3.57796296296296</v>
      </c>
      <c r="AF146" s="106">
        <f t="shared" si="98"/>
        <v>4.63537206977451</v>
      </c>
      <c r="AG146" s="106">
        <f t="shared" si="87"/>
        <v>0.139663382464097</v>
      </c>
      <c r="AH146" s="106">
        <f t="shared" si="88"/>
        <v>-0.264086340815617</v>
      </c>
      <c r="AI146" s="107">
        <f t="shared" si="99"/>
        <v>-0.12442295835152</v>
      </c>
      <c r="AJ146" s="105">
        <f t="shared" si="100"/>
        <v>0.926666666666667</v>
      </c>
      <c r="AK146" s="106">
        <f t="shared" si="101"/>
        <v>2.36772763205183</v>
      </c>
      <c r="AL146" s="106">
        <f t="shared" si="102"/>
        <v>0.301166666666667</v>
      </c>
      <c r="AM146" s="106">
        <f t="shared" si="89"/>
        <v>0</v>
      </c>
      <c r="AN146" s="107">
        <f t="shared" si="103"/>
        <v>0.301166666666667</v>
      </c>
      <c r="AO146" s="105">
        <f t="shared" si="90"/>
        <v>0.214866742252457</v>
      </c>
      <c r="AP146" s="106">
        <f t="shared" si="91"/>
        <v>0.1512</v>
      </c>
      <c r="AQ146" s="107">
        <f t="shared" si="104"/>
        <v>0.0132</v>
      </c>
      <c r="AR146" s="105">
        <f t="shared" si="105"/>
        <v>0.556010450567603</v>
      </c>
      <c r="AS146" s="106">
        <f t="shared" si="106"/>
        <v>18.5333333333333</v>
      </c>
      <c r="AT146" s="107">
        <f t="shared" si="107"/>
        <v>97.0873254897504</v>
      </c>
    </row>
    <row r="147" spans="17:46">
      <c r="Q147">
        <v>140</v>
      </c>
      <c r="R147" s="105">
        <f t="shared" si="80"/>
        <v>20</v>
      </c>
      <c r="S147" s="106">
        <f t="shared" si="81"/>
        <v>0.933333333333333</v>
      </c>
      <c r="T147" s="106">
        <f t="shared" si="82"/>
        <v>4</v>
      </c>
      <c r="U147" s="107">
        <f t="shared" si="83"/>
        <v>4.66666666666667</v>
      </c>
      <c r="V147" s="105">
        <f t="shared" si="84"/>
        <v>2</v>
      </c>
      <c r="W147" s="106">
        <f t="shared" si="85"/>
        <v>0.833333333333333</v>
      </c>
      <c r="X147" s="107">
        <f t="shared" si="86"/>
        <v>0.166666666666667</v>
      </c>
      <c r="Y147" s="105">
        <f t="shared" si="92"/>
        <v>0.476190476190476</v>
      </c>
      <c r="Z147" s="106">
        <f t="shared" si="93"/>
        <v>6.07619047619048</v>
      </c>
      <c r="AA147" s="106">
        <f t="shared" si="94"/>
        <v>4.66869084704113</v>
      </c>
      <c r="AB147" s="106">
        <v>0</v>
      </c>
      <c r="AC147" s="106">
        <f t="shared" si="95"/>
        <v>0.217966742252457</v>
      </c>
      <c r="AD147" s="107">
        <f t="shared" si="96"/>
        <v>0.217966742252457</v>
      </c>
      <c r="AE147" s="105">
        <f t="shared" si="97"/>
        <v>3.62962962962963</v>
      </c>
      <c r="AF147" s="106">
        <f t="shared" si="98"/>
        <v>4.66869084704113</v>
      </c>
      <c r="AG147" s="106">
        <f t="shared" si="87"/>
        <v>0.141678382464097</v>
      </c>
      <c r="AH147" s="106">
        <f t="shared" si="88"/>
        <v>-0.265986242548104</v>
      </c>
      <c r="AI147" s="107">
        <f t="shared" si="99"/>
        <v>-0.124307860084007</v>
      </c>
      <c r="AJ147" s="105">
        <f t="shared" si="100"/>
        <v>0.933333333333333</v>
      </c>
      <c r="AK147" s="106">
        <f t="shared" si="101"/>
        <v>2.38405300753913</v>
      </c>
      <c r="AL147" s="106">
        <f t="shared" si="102"/>
        <v>0.303333333333333</v>
      </c>
      <c r="AM147" s="106">
        <f t="shared" si="89"/>
        <v>0</v>
      </c>
      <c r="AN147" s="107">
        <f t="shared" si="103"/>
        <v>0.303333333333333</v>
      </c>
      <c r="AO147" s="105">
        <f t="shared" si="90"/>
        <v>0.217966742252457</v>
      </c>
      <c r="AP147" s="106">
        <f t="shared" si="91"/>
        <v>0.1512</v>
      </c>
      <c r="AQ147" s="107">
        <f t="shared" si="104"/>
        <v>0.0132</v>
      </c>
      <c r="AR147" s="105">
        <f t="shared" si="105"/>
        <v>0.561392215501783</v>
      </c>
      <c r="AS147" s="106">
        <f t="shared" si="106"/>
        <v>18.6666666666667</v>
      </c>
      <c r="AT147" s="107">
        <f t="shared" si="107"/>
        <v>97.0803489892451</v>
      </c>
    </row>
    <row r="148" spans="17:46">
      <c r="Q148">
        <v>141</v>
      </c>
      <c r="R148" s="105">
        <f t="shared" si="80"/>
        <v>20</v>
      </c>
      <c r="S148" s="106">
        <f t="shared" si="81"/>
        <v>0.94</v>
      </c>
      <c r="T148" s="106">
        <f t="shared" si="82"/>
        <v>4</v>
      </c>
      <c r="U148" s="107">
        <f t="shared" si="83"/>
        <v>4.7</v>
      </c>
      <c r="V148" s="105">
        <f t="shared" si="84"/>
        <v>2</v>
      </c>
      <c r="W148" s="106">
        <f t="shared" si="85"/>
        <v>0.833333333333333</v>
      </c>
      <c r="X148" s="107">
        <f t="shared" si="86"/>
        <v>0.166666666666667</v>
      </c>
      <c r="Y148" s="105">
        <f t="shared" si="92"/>
        <v>0.476190476190476</v>
      </c>
      <c r="Z148" s="106">
        <f t="shared" si="93"/>
        <v>6.11619047619048</v>
      </c>
      <c r="AA148" s="106">
        <f t="shared" si="94"/>
        <v>4.70200983064348</v>
      </c>
      <c r="AB148" s="106">
        <v>0</v>
      </c>
      <c r="AC148" s="106">
        <f t="shared" si="95"/>
        <v>0.221088964474679</v>
      </c>
      <c r="AD148" s="107">
        <f t="shared" si="96"/>
        <v>0.221088964474679</v>
      </c>
      <c r="AE148" s="105">
        <f t="shared" si="97"/>
        <v>3.68166666666667</v>
      </c>
      <c r="AF148" s="106">
        <f t="shared" si="98"/>
        <v>4.70200983064348</v>
      </c>
      <c r="AG148" s="106">
        <f t="shared" si="87"/>
        <v>0.143707826908541</v>
      </c>
      <c r="AH148" s="106">
        <f t="shared" si="88"/>
        <v>-0.26788614428059</v>
      </c>
      <c r="AI148" s="107">
        <f t="shared" si="99"/>
        <v>-0.124178317372049</v>
      </c>
      <c r="AJ148" s="105">
        <f t="shared" si="100"/>
        <v>0.94</v>
      </c>
      <c r="AK148" s="106">
        <f t="shared" si="101"/>
        <v>2.4003784450091</v>
      </c>
      <c r="AL148" s="106">
        <f t="shared" si="102"/>
        <v>0.3055</v>
      </c>
      <c r="AM148" s="106">
        <f t="shared" si="89"/>
        <v>0</v>
      </c>
      <c r="AN148" s="107">
        <f t="shared" si="103"/>
        <v>0.3055</v>
      </c>
      <c r="AO148" s="105">
        <f t="shared" si="90"/>
        <v>0.221088964474679</v>
      </c>
      <c r="AP148" s="106">
        <f t="shared" si="91"/>
        <v>0.1512</v>
      </c>
      <c r="AQ148" s="107">
        <f t="shared" si="104"/>
        <v>0.0132</v>
      </c>
      <c r="AR148" s="105">
        <f t="shared" si="105"/>
        <v>0.56681064710263</v>
      </c>
      <c r="AS148" s="106">
        <f t="shared" si="106"/>
        <v>18.8</v>
      </c>
      <c r="AT148" s="107">
        <f t="shared" si="107"/>
        <v>97.0732886409078</v>
      </c>
    </row>
    <row r="149" spans="17:46">
      <c r="Q149">
        <v>142</v>
      </c>
      <c r="R149" s="105">
        <f t="shared" si="80"/>
        <v>20</v>
      </c>
      <c r="S149" s="106">
        <f t="shared" si="81"/>
        <v>0.946666666666667</v>
      </c>
      <c r="T149" s="106">
        <f t="shared" si="82"/>
        <v>4</v>
      </c>
      <c r="U149" s="107">
        <f t="shared" si="83"/>
        <v>4.73333333333333</v>
      </c>
      <c r="V149" s="105">
        <f t="shared" si="84"/>
        <v>2</v>
      </c>
      <c r="W149" s="106">
        <f t="shared" si="85"/>
        <v>0.833333333333333</v>
      </c>
      <c r="X149" s="107">
        <f t="shared" si="86"/>
        <v>0.166666666666667</v>
      </c>
      <c r="Y149" s="105">
        <f t="shared" si="92"/>
        <v>0.476190476190476</v>
      </c>
      <c r="Z149" s="106">
        <f t="shared" si="93"/>
        <v>6.15619047619048</v>
      </c>
      <c r="AA149" s="106">
        <f t="shared" si="94"/>
        <v>4.73532901622605</v>
      </c>
      <c r="AB149" s="106">
        <v>0</v>
      </c>
      <c r="AC149" s="106">
        <f t="shared" si="95"/>
        <v>0.224233408919123</v>
      </c>
      <c r="AD149" s="107">
        <f t="shared" si="96"/>
        <v>0.224233408919123</v>
      </c>
      <c r="AE149" s="105">
        <f t="shared" si="97"/>
        <v>3.73407407407408</v>
      </c>
      <c r="AF149" s="106">
        <f t="shared" si="98"/>
        <v>4.73532901622605</v>
      </c>
      <c r="AG149" s="106">
        <f t="shared" si="87"/>
        <v>0.14575171579743</v>
      </c>
      <c r="AH149" s="106">
        <f t="shared" si="88"/>
        <v>-0.269786046013077</v>
      </c>
      <c r="AI149" s="107">
        <f t="shared" si="99"/>
        <v>-0.124034330215646</v>
      </c>
      <c r="AJ149" s="105">
        <f t="shared" si="100"/>
        <v>0.946666666666667</v>
      </c>
      <c r="AK149" s="106">
        <f t="shared" si="101"/>
        <v>2.41670394320562</v>
      </c>
      <c r="AL149" s="106">
        <f t="shared" si="102"/>
        <v>0.307666666666667</v>
      </c>
      <c r="AM149" s="106">
        <f t="shared" si="89"/>
        <v>0</v>
      </c>
      <c r="AN149" s="107">
        <f t="shared" si="103"/>
        <v>0.307666666666667</v>
      </c>
      <c r="AO149" s="105">
        <f t="shared" si="90"/>
        <v>0.224233408919123</v>
      </c>
      <c r="AP149" s="106">
        <f t="shared" si="91"/>
        <v>0.1512</v>
      </c>
      <c r="AQ149" s="107">
        <f t="shared" si="104"/>
        <v>0.0132</v>
      </c>
      <c r="AR149" s="105">
        <f t="shared" si="105"/>
        <v>0.572265745370144</v>
      </c>
      <c r="AS149" s="106">
        <f t="shared" si="106"/>
        <v>18.9333333333333</v>
      </c>
      <c r="AT149" s="107">
        <f t="shared" si="107"/>
        <v>97.0661462738925</v>
      </c>
    </row>
    <row r="150" spans="17:46">
      <c r="Q150">
        <v>143</v>
      </c>
      <c r="R150" s="105">
        <f t="shared" si="80"/>
        <v>20</v>
      </c>
      <c r="S150" s="106">
        <f t="shared" si="81"/>
        <v>0.953333333333333</v>
      </c>
      <c r="T150" s="106">
        <f t="shared" si="82"/>
        <v>4</v>
      </c>
      <c r="U150" s="107">
        <f t="shared" si="83"/>
        <v>4.76666666666667</v>
      </c>
      <c r="V150" s="105">
        <f t="shared" si="84"/>
        <v>2</v>
      </c>
      <c r="W150" s="106">
        <f t="shared" si="85"/>
        <v>0.833333333333333</v>
      </c>
      <c r="X150" s="107">
        <f t="shared" si="86"/>
        <v>0.166666666666667</v>
      </c>
      <c r="Y150" s="105">
        <f t="shared" si="92"/>
        <v>0.476190476190476</v>
      </c>
      <c r="Z150" s="106">
        <f t="shared" si="93"/>
        <v>6.19619047619048</v>
      </c>
      <c r="AA150" s="106">
        <f t="shared" si="94"/>
        <v>4.76864839955505</v>
      </c>
      <c r="AB150" s="106">
        <v>0</v>
      </c>
      <c r="AC150" s="106">
        <f t="shared" si="95"/>
        <v>0.22740007558579</v>
      </c>
      <c r="AD150" s="107">
        <f t="shared" si="96"/>
        <v>0.22740007558579</v>
      </c>
      <c r="AE150" s="105">
        <f t="shared" si="97"/>
        <v>3.78685185185185</v>
      </c>
      <c r="AF150" s="106">
        <f t="shared" si="98"/>
        <v>4.76864839955505</v>
      </c>
      <c r="AG150" s="106">
        <f t="shared" si="87"/>
        <v>0.147810049130763</v>
      </c>
      <c r="AH150" s="106">
        <f t="shared" si="88"/>
        <v>-0.271685947745563</v>
      </c>
      <c r="AI150" s="107">
        <f t="shared" si="99"/>
        <v>-0.1238758986148</v>
      </c>
      <c r="AJ150" s="105">
        <f t="shared" si="100"/>
        <v>0.953333333333333</v>
      </c>
      <c r="AK150" s="106">
        <f t="shared" si="101"/>
        <v>2.43302950090626</v>
      </c>
      <c r="AL150" s="106">
        <f t="shared" si="102"/>
        <v>0.309833333333333</v>
      </c>
      <c r="AM150" s="106">
        <f t="shared" si="89"/>
        <v>0</v>
      </c>
      <c r="AN150" s="107">
        <f t="shared" si="103"/>
        <v>0.309833333333333</v>
      </c>
      <c r="AO150" s="105">
        <f t="shared" si="90"/>
        <v>0.22740007558579</v>
      </c>
      <c r="AP150" s="106">
        <f t="shared" si="91"/>
        <v>0.1512</v>
      </c>
      <c r="AQ150" s="107">
        <f t="shared" si="104"/>
        <v>0.0132</v>
      </c>
      <c r="AR150" s="105">
        <f t="shared" si="105"/>
        <v>0.577757510304324</v>
      </c>
      <c r="AS150" s="106">
        <f t="shared" si="106"/>
        <v>19.0666666666667</v>
      </c>
      <c r="AT150" s="107">
        <f t="shared" si="107"/>
        <v>97.0589236665862</v>
      </c>
    </row>
    <row r="151" spans="17:46">
      <c r="Q151">
        <v>144</v>
      </c>
      <c r="R151" s="105">
        <f t="shared" si="80"/>
        <v>20</v>
      </c>
      <c r="S151" s="106">
        <f t="shared" si="81"/>
        <v>0.96</v>
      </c>
      <c r="T151" s="106">
        <f t="shared" si="82"/>
        <v>4</v>
      </c>
      <c r="U151" s="107">
        <f t="shared" si="83"/>
        <v>4.8</v>
      </c>
      <c r="V151" s="105">
        <f t="shared" si="84"/>
        <v>2</v>
      </c>
      <c r="W151" s="106">
        <f t="shared" si="85"/>
        <v>0.833333333333333</v>
      </c>
      <c r="X151" s="107">
        <f t="shared" si="86"/>
        <v>0.166666666666667</v>
      </c>
      <c r="Y151" s="105">
        <f t="shared" si="92"/>
        <v>0.476190476190476</v>
      </c>
      <c r="Z151" s="106">
        <f t="shared" si="93"/>
        <v>6.23619047619048</v>
      </c>
      <c r="AA151" s="106">
        <f t="shared" si="94"/>
        <v>4.8019679765142</v>
      </c>
      <c r="AB151" s="106">
        <v>0</v>
      </c>
      <c r="AC151" s="106">
        <f t="shared" si="95"/>
        <v>0.230588964474679</v>
      </c>
      <c r="AD151" s="107">
        <f t="shared" si="96"/>
        <v>0.230588964474679</v>
      </c>
      <c r="AE151" s="105">
        <f t="shared" si="97"/>
        <v>3.84</v>
      </c>
      <c r="AF151" s="106">
        <f t="shared" si="98"/>
        <v>4.8019679765142</v>
      </c>
      <c r="AG151" s="106">
        <f t="shared" si="87"/>
        <v>0.149882826908541</v>
      </c>
      <c r="AH151" s="106">
        <f t="shared" si="88"/>
        <v>-0.273585849478049</v>
      </c>
      <c r="AI151" s="107">
        <f t="shared" si="99"/>
        <v>-0.123703022569508</v>
      </c>
      <c r="AJ151" s="105">
        <f t="shared" si="100"/>
        <v>0.96</v>
      </c>
      <c r="AK151" s="106">
        <f t="shared" si="101"/>
        <v>2.44935511692121</v>
      </c>
      <c r="AL151" s="106">
        <f t="shared" si="102"/>
        <v>0.312</v>
      </c>
      <c r="AM151" s="106">
        <f t="shared" si="89"/>
        <v>0</v>
      </c>
      <c r="AN151" s="107">
        <f t="shared" si="103"/>
        <v>0.312</v>
      </c>
      <c r="AO151" s="105">
        <f t="shared" si="90"/>
        <v>0.230588964474679</v>
      </c>
      <c r="AP151" s="106">
        <f t="shared" si="91"/>
        <v>0.1512</v>
      </c>
      <c r="AQ151" s="107">
        <f t="shared" si="104"/>
        <v>0.0132</v>
      </c>
      <c r="AR151" s="105">
        <f t="shared" si="105"/>
        <v>0.583285941905171</v>
      </c>
      <c r="AS151" s="106">
        <f t="shared" si="106"/>
        <v>19.2</v>
      </c>
      <c r="AT151" s="107">
        <f t="shared" si="107"/>
        <v>97.0516225483571</v>
      </c>
    </row>
    <row r="152" spans="17:46">
      <c r="Q152">
        <v>145</v>
      </c>
      <c r="R152" s="105">
        <f t="shared" si="80"/>
        <v>20</v>
      </c>
      <c r="S152" s="106">
        <f t="shared" si="81"/>
        <v>0.966666666666667</v>
      </c>
      <c r="T152" s="106">
        <f t="shared" si="82"/>
        <v>4</v>
      </c>
      <c r="U152" s="107">
        <f t="shared" si="83"/>
        <v>4.83333333333333</v>
      </c>
      <c r="V152" s="105">
        <f t="shared" si="84"/>
        <v>2</v>
      </c>
      <c r="W152" s="106">
        <f t="shared" si="85"/>
        <v>0.833333333333333</v>
      </c>
      <c r="X152" s="107">
        <f t="shared" si="86"/>
        <v>0.166666666666667</v>
      </c>
      <c r="Y152" s="105">
        <f t="shared" si="92"/>
        <v>0.476190476190476</v>
      </c>
      <c r="Z152" s="106">
        <f t="shared" si="93"/>
        <v>6.27619047619048</v>
      </c>
      <c r="AA152" s="106">
        <f t="shared" si="94"/>
        <v>4.83528774310061</v>
      </c>
      <c r="AB152" s="106">
        <v>0</v>
      </c>
      <c r="AC152" s="106">
        <f t="shared" si="95"/>
        <v>0.23380007558579</v>
      </c>
      <c r="AD152" s="107">
        <f t="shared" si="96"/>
        <v>0.23380007558579</v>
      </c>
      <c r="AE152" s="105">
        <f t="shared" si="97"/>
        <v>3.89351851851852</v>
      </c>
      <c r="AF152" s="106">
        <f t="shared" si="98"/>
        <v>4.83528774310061</v>
      </c>
      <c r="AG152" s="106">
        <f t="shared" si="87"/>
        <v>0.151970049130763</v>
      </c>
      <c r="AH152" s="106">
        <f t="shared" si="88"/>
        <v>-0.275485751210536</v>
      </c>
      <c r="AI152" s="107">
        <f t="shared" si="99"/>
        <v>-0.123515702079772</v>
      </c>
      <c r="AJ152" s="105">
        <f t="shared" si="100"/>
        <v>0.966666666666667</v>
      </c>
      <c r="AK152" s="106">
        <f t="shared" si="101"/>
        <v>2.46568079009214</v>
      </c>
      <c r="AL152" s="106">
        <f t="shared" si="102"/>
        <v>0.314166666666667</v>
      </c>
      <c r="AM152" s="106">
        <f t="shared" si="89"/>
        <v>0</v>
      </c>
      <c r="AN152" s="107">
        <f t="shared" si="103"/>
        <v>0.314166666666667</v>
      </c>
      <c r="AO152" s="105">
        <f t="shared" si="90"/>
        <v>0.23380007558579</v>
      </c>
      <c r="AP152" s="106">
        <f t="shared" si="91"/>
        <v>0.1512</v>
      </c>
      <c r="AQ152" s="107">
        <f t="shared" si="104"/>
        <v>0.0132</v>
      </c>
      <c r="AR152" s="105">
        <f t="shared" si="105"/>
        <v>0.588851040172684</v>
      </c>
      <c r="AS152" s="106">
        <f t="shared" si="106"/>
        <v>19.3333333333333</v>
      </c>
      <c r="AT152" s="107">
        <f t="shared" si="107"/>
        <v>97.0442446012307</v>
      </c>
    </row>
    <row r="153" spans="17:46">
      <c r="Q153">
        <v>146</v>
      </c>
      <c r="R153" s="105">
        <f t="shared" si="80"/>
        <v>20</v>
      </c>
      <c r="S153" s="106">
        <f t="shared" si="81"/>
        <v>0.973333333333333</v>
      </c>
      <c r="T153" s="106">
        <f t="shared" si="82"/>
        <v>4</v>
      </c>
      <c r="U153" s="107">
        <f t="shared" si="83"/>
        <v>4.86666666666667</v>
      </c>
      <c r="V153" s="105">
        <f t="shared" si="84"/>
        <v>2</v>
      </c>
      <c r="W153" s="106">
        <f t="shared" si="85"/>
        <v>0.833333333333333</v>
      </c>
      <c r="X153" s="107">
        <f t="shared" si="86"/>
        <v>0.166666666666667</v>
      </c>
      <c r="Y153" s="105">
        <f t="shared" si="92"/>
        <v>0.476190476190476</v>
      </c>
      <c r="Z153" s="106">
        <f t="shared" si="93"/>
        <v>6.31619047619048</v>
      </c>
      <c r="AA153" s="106">
        <f t="shared" si="94"/>
        <v>4.86860769542097</v>
      </c>
      <c r="AB153" s="106">
        <v>0</v>
      </c>
      <c r="AC153" s="106">
        <f t="shared" si="95"/>
        <v>0.237033408919123</v>
      </c>
      <c r="AD153" s="107">
        <f t="shared" si="96"/>
        <v>0.237033408919123</v>
      </c>
      <c r="AE153" s="105">
        <f t="shared" si="97"/>
        <v>3.94740740740741</v>
      </c>
      <c r="AF153" s="106">
        <f t="shared" si="98"/>
        <v>4.86860769542097</v>
      </c>
      <c r="AG153" s="106">
        <f t="shared" si="87"/>
        <v>0.15407171579743</v>
      </c>
      <c r="AH153" s="106">
        <f t="shared" si="88"/>
        <v>-0.277385652943022</v>
      </c>
      <c r="AI153" s="107">
        <f t="shared" si="99"/>
        <v>-0.123313937145592</v>
      </c>
      <c r="AJ153" s="105">
        <f t="shared" si="100"/>
        <v>0.973333333333333</v>
      </c>
      <c r="AK153" s="106">
        <f t="shared" si="101"/>
        <v>2.48200651929119</v>
      </c>
      <c r="AL153" s="106">
        <f t="shared" si="102"/>
        <v>0.316333333333333</v>
      </c>
      <c r="AM153" s="106">
        <f t="shared" si="89"/>
        <v>0</v>
      </c>
      <c r="AN153" s="107">
        <f t="shared" si="103"/>
        <v>0.316333333333333</v>
      </c>
      <c r="AO153" s="105">
        <f t="shared" si="90"/>
        <v>0.237033408919123</v>
      </c>
      <c r="AP153" s="106">
        <f t="shared" si="91"/>
        <v>0.1512</v>
      </c>
      <c r="AQ153" s="107">
        <f t="shared" si="104"/>
        <v>0.0132</v>
      </c>
      <c r="AR153" s="105">
        <f t="shared" si="105"/>
        <v>0.594452805106864</v>
      </c>
      <c r="AS153" s="106">
        <f t="shared" si="106"/>
        <v>19.4666666666667</v>
      </c>
      <c r="AT153" s="107">
        <f t="shared" si="107"/>
        <v>97.0367914614971</v>
      </c>
    </row>
    <row r="154" spans="17:46">
      <c r="Q154">
        <v>147</v>
      </c>
      <c r="R154" s="105">
        <f t="shared" si="80"/>
        <v>20</v>
      </c>
      <c r="S154" s="106">
        <f t="shared" si="81"/>
        <v>0.98</v>
      </c>
      <c r="T154" s="106">
        <f t="shared" si="82"/>
        <v>4</v>
      </c>
      <c r="U154" s="107">
        <f t="shared" si="83"/>
        <v>4.9</v>
      </c>
      <c r="V154" s="105">
        <f t="shared" si="84"/>
        <v>2</v>
      </c>
      <c r="W154" s="106">
        <f t="shared" si="85"/>
        <v>0.833333333333333</v>
      </c>
      <c r="X154" s="107">
        <f t="shared" si="86"/>
        <v>0.166666666666667</v>
      </c>
      <c r="Y154" s="105">
        <f t="shared" si="92"/>
        <v>0.476190476190476</v>
      </c>
      <c r="Z154" s="106">
        <f t="shared" si="93"/>
        <v>6.35619047619048</v>
      </c>
      <c r="AA154" s="106">
        <f t="shared" si="94"/>
        <v>4.90192782968781</v>
      </c>
      <c r="AB154" s="106">
        <v>0</v>
      </c>
      <c r="AC154" s="106">
        <f t="shared" si="95"/>
        <v>0.240288964474679</v>
      </c>
      <c r="AD154" s="107">
        <f t="shared" si="96"/>
        <v>0.240288964474679</v>
      </c>
      <c r="AE154" s="105">
        <f t="shared" si="97"/>
        <v>4.00166666666667</v>
      </c>
      <c r="AF154" s="106">
        <f t="shared" si="98"/>
        <v>4.90192782968781</v>
      </c>
      <c r="AG154" s="106">
        <f t="shared" si="87"/>
        <v>0.156187826908541</v>
      </c>
      <c r="AH154" s="106">
        <f t="shared" si="88"/>
        <v>-0.279285554675509</v>
      </c>
      <c r="AI154" s="107">
        <f t="shared" si="99"/>
        <v>-0.123097727766967</v>
      </c>
      <c r="AJ154" s="105">
        <f t="shared" si="100"/>
        <v>0.98</v>
      </c>
      <c r="AK154" s="106">
        <f t="shared" si="101"/>
        <v>2.49833230342001</v>
      </c>
      <c r="AL154" s="106">
        <f t="shared" si="102"/>
        <v>0.3185</v>
      </c>
      <c r="AM154" s="106">
        <f t="shared" si="89"/>
        <v>0</v>
      </c>
      <c r="AN154" s="107">
        <f t="shared" si="103"/>
        <v>0.3185</v>
      </c>
      <c r="AO154" s="105">
        <f t="shared" si="90"/>
        <v>0.240288964474679</v>
      </c>
      <c r="AP154" s="106">
        <f t="shared" si="91"/>
        <v>0.1512</v>
      </c>
      <c r="AQ154" s="107">
        <f t="shared" si="104"/>
        <v>0.0132</v>
      </c>
      <c r="AR154" s="105">
        <f t="shared" si="105"/>
        <v>0.600091236707711</v>
      </c>
      <c r="AS154" s="106">
        <f t="shared" si="106"/>
        <v>19.6</v>
      </c>
      <c r="AT154" s="107">
        <f t="shared" si="107"/>
        <v>97.0292647212542</v>
      </c>
    </row>
    <row r="155" spans="17:46">
      <c r="Q155">
        <v>148</v>
      </c>
      <c r="R155" s="105">
        <f t="shared" si="80"/>
        <v>20</v>
      </c>
      <c r="S155" s="106">
        <f t="shared" si="81"/>
        <v>0.986666666666667</v>
      </c>
      <c r="T155" s="106">
        <f t="shared" si="82"/>
        <v>4</v>
      </c>
      <c r="U155" s="107">
        <f t="shared" si="83"/>
        <v>4.93333333333333</v>
      </c>
      <c r="V155" s="105">
        <f t="shared" si="84"/>
        <v>2</v>
      </c>
      <c r="W155" s="106">
        <f t="shared" si="85"/>
        <v>0.833333333333333</v>
      </c>
      <c r="X155" s="107">
        <f t="shared" si="86"/>
        <v>0.166666666666667</v>
      </c>
      <c r="Y155" s="105">
        <f t="shared" si="92"/>
        <v>0.476190476190476</v>
      </c>
      <c r="Z155" s="106">
        <f t="shared" si="93"/>
        <v>6.39619047619048</v>
      </c>
      <c r="AA155" s="106">
        <f t="shared" si="94"/>
        <v>4.93524814221592</v>
      </c>
      <c r="AB155" s="106">
        <v>0</v>
      </c>
      <c r="AC155" s="106">
        <f t="shared" si="95"/>
        <v>0.243566742252457</v>
      </c>
      <c r="AD155" s="107">
        <f t="shared" si="96"/>
        <v>0.243566742252457</v>
      </c>
      <c r="AE155" s="105">
        <f t="shared" si="97"/>
        <v>4.0562962962963</v>
      </c>
      <c r="AF155" s="106">
        <f t="shared" si="98"/>
        <v>4.93524814221592</v>
      </c>
      <c r="AG155" s="106">
        <f t="shared" si="87"/>
        <v>0.158318382464097</v>
      </c>
      <c r="AH155" s="106">
        <f t="shared" si="88"/>
        <v>-0.281185456407995</v>
      </c>
      <c r="AI155" s="107">
        <f t="shared" si="99"/>
        <v>-0.122867073943898</v>
      </c>
      <c r="AJ155" s="105">
        <f t="shared" si="100"/>
        <v>0.986666666666667</v>
      </c>
      <c r="AK155" s="106">
        <f t="shared" si="101"/>
        <v>2.51465814140873</v>
      </c>
      <c r="AL155" s="106">
        <f t="shared" si="102"/>
        <v>0.320666666666667</v>
      </c>
      <c r="AM155" s="106">
        <f t="shared" si="89"/>
        <v>0</v>
      </c>
      <c r="AN155" s="107">
        <f t="shared" si="103"/>
        <v>0.320666666666667</v>
      </c>
      <c r="AO155" s="105">
        <f t="shared" si="90"/>
        <v>0.243566742252457</v>
      </c>
      <c r="AP155" s="106">
        <f t="shared" si="91"/>
        <v>0.1512</v>
      </c>
      <c r="AQ155" s="107">
        <f t="shared" si="104"/>
        <v>0.0132</v>
      </c>
      <c r="AR155" s="105">
        <f t="shared" si="105"/>
        <v>0.605766334975225</v>
      </c>
      <c r="AS155" s="106">
        <f t="shared" si="106"/>
        <v>19.7333333333333</v>
      </c>
      <c r="AT155" s="107">
        <f t="shared" si="107"/>
        <v>97.0216659298882</v>
      </c>
    </row>
    <row r="156" spans="17:46">
      <c r="Q156">
        <v>149</v>
      </c>
      <c r="R156" s="105">
        <f t="shared" si="80"/>
        <v>20</v>
      </c>
      <c r="S156" s="106">
        <f t="shared" si="81"/>
        <v>0.993333333333333</v>
      </c>
      <c r="T156" s="106">
        <f t="shared" si="82"/>
        <v>4</v>
      </c>
      <c r="U156" s="107">
        <f t="shared" si="83"/>
        <v>4.96666666666667</v>
      </c>
      <c r="V156" s="105">
        <f t="shared" si="84"/>
        <v>2</v>
      </c>
      <c r="W156" s="106">
        <f t="shared" si="85"/>
        <v>0.833333333333333</v>
      </c>
      <c r="X156" s="107">
        <f t="shared" si="86"/>
        <v>0.166666666666667</v>
      </c>
      <c r="Y156" s="105">
        <f t="shared" si="92"/>
        <v>0.476190476190476</v>
      </c>
      <c r="Z156" s="106">
        <f t="shared" si="93"/>
        <v>6.43619047619048</v>
      </c>
      <c r="AA156" s="106">
        <f t="shared" si="94"/>
        <v>4.9685686294189</v>
      </c>
      <c r="AB156" s="106">
        <v>0</v>
      </c>
      <c r="AC156" s="106">
        <f t="shared" si="95"/>
        <v>0.246866742252457</v>
      </c>
      <c r="AD156" s="107">
        <f t="shared" si="96"/>
        <v>0.246866742252457</v>
      </c>
      <c r="AE156" s="105">
        <f t="shared" si="97"/>
        <v>4.1112962962963</v>
      </c>
      <c r="AF156" s="106">
        <f t="shared" si="98"/>
        <v>4.9685686294189</v>
      </c>
      <c r="AG156" s="106">
        <f t="shared" si="87"/>
        <v>0.160463382464097</v>
      </c>
      <c r="AH156" s="106">
        <f t="shared" si="88"/>
        <v>-0.283085358140482</v>
      </c>
      <c r="AI156" s="107">
        <f t="shared" si="99"/>
        <v>-0.122621975676385</v>
      </c>
      <c r="AJ156" s="105">
        <f t="shared" si="100"/>
        <v>0.993333333333333</v>
      </c>
      <c r="AK156" s="106">
        <f t="shared" si="101"/>
        <v>2.5309840322151</v>
      </c>
      <c r="AL156" s="106">
        <f t="shared" si="102"/>
        <v>0.322833333333333</v>
      </c>
      <c r="AM156" s="106">
        <f t="shared" si="89"/>
        <v>0</v>
      </c>
      <c r="AN156" s="107">
        <f t="shared" si="103"/>
        <v>0.322833333333333</v>
      </c>
      <c r="AO156" s="105">
        <f t="shared" si="90"/>
        <v>0.246866742252457</v>
      </c>
      <c r="AP156" s="106">
        <f t="shared" si="91"/>
        <v>0.1512</v>
      </c>
      <c r="AQ156" s="107">
        <f t="shared" si="104"/>
        <v>0.0132</v>
      </c>
      <c r="AR156" s="105">
        <f t="shared" si="105"/>
        <v>0.611478099909405</v>
      </c>
      <c r="AS156" s="106">
        <f t="shared" si="106"/>
        <v>19.8666666666667</v>
      </c>
      <c r="AT156" s="107">
        <f t="shared" si="107"/>
        <v>97.0139965954951</v>
      </c>
    </row>
    <row r="157" ht="15.75" spans="17:46">
      <c r="Q157">
        <v>150</v>
      </c>
      <c r="R157" s="113">
        <f t="shared" si="80"/>
        <v>20</v>
      </c>
      <c r="S157" s="114">
        <f t="shared" si="81"/>
        <v>1</v>
      </c>
      <c r="T157" s="114">
        <f t="shared" si="82"/>
        <v>4</v>
      </c>
      <c r="U157" s="115">
        <f t="shared" si="83"/>
        <v>5</v>
      </c>
      <c r="V157" s="105">
        <f t="shared" si="84"/>
        <v>2</v>
      </c>
      <c r="W157" s="106">
        <f t="shared" si="85"/>
        <v>0.833333333333333</v>
      </c>
      <c r="X157" s="107">
        <f t="shared" si="86"/>
        <v>0.166666666666667</v>
      </c>
      <c r="Y157" s="105">
        <f t="shared" si="92"/>
        <v>0.476190476190476</v>
      </c>
      <c r="Z157" s="106">
        <f t="shared" si="93"/>
        <v>6.47619047619048</v>
      </c>
      <c r="AA157" s="106">
        <f t="shared" si="94"/>
        <v>5.00188928780595</v>
      </c>
      <c r="AB157" s="106">
        <v>0</v>
      </c>
      <c r="AC157" s="106">
        <f t="shared" si="95"/>
        <v>0.250188964474679</v>
      </c>
      <c r="AD157" s="107">
        <f t="shared" si="96"/>
        <v>0.250188964474679</v>
      </c>
      <c r="AE157" s="105">
        <f t="shared" si="97"/>
        <v>4.16666666666667</v>
      </c>
      <c r="AF157" s="106">
        <f t="shared" si="98"/>
        <v>5.00188928780595</v>
      </c>
      <c r="AG157" s="106">
        <f t="shared" si="87"/>
        <v>0.162622826908541</v>
      </c>
      <c r="AH157" s="106">
        <f t="shared" si="88"/>
        <v>-0.284985259872968</v>
      </c>
      <c r="AI157" s="107">
        <f t="shared" si="99"/>
        <v>-0.122362432964427</v>
      </c>
      <c r="AJ157" s="105">
        <f t="shared" si="100"/>
        <v>1</v>
      </c>
      <c r="AK157" s="106">
        <f t="shared" si="101"/>
        <v>2.54730997482358</v>
      </c>
      <c r="AL157" s="106">
        <f t="shared" si="102"/>
        <v>0.325</v>
      </c>
      <c r="AM157" s="106">
        <f t="shared" si="89"/>
        <v>0</v>
      </c>
      <c r="AN157" s="107">
        <f t="shared" si="103"/>
        <v>0.325</v>
      </c>
      <c r="AO157" s="105">
        <f t="shared" si="90"/>
        <v>0.250188964474679</v>
      </c>
      <c r="AP157" s="106">
        <f t="shared" si="91"/>
        <v>0.1512</v>
      </c>
      <c r="AQ157" s="107">
        <f t="shared" si="104"/>
        <v>0.0132</v>
      </c>
      <c r="AR157" s="105">
        <f t="shared" si="105"/>
        <v>0.617226531510252</v>
      </c>
      <c r="AS157" s="106">
        <f t="shared" si="106"/>
        <v>20</v>
      </c>
      <c r="AT157" s="107">
        <f t="shared" si="107"/>
        <v>97.0062581862458</v>
      </c>
    </row>
  </sheetData>
  <mergeCells count="8">
    <mergeCell ref="A1:M1"/>
    <mergeCell ref="Y2:AD2"/>
    <mergeCell ref="R5:U5"/>
    <mergeCell ref="V5:X5"/>
    <mergeCell ref="Y5:AD5"/>
    <mergeCell ref="AE5:AI5"/>
    <mergeCell ref="AJ5:AN5"/>
    <mergeCell ref="AO5:AQ5"/>
  </mergeCells>
  <pageMargins left="0.7" right="0.7" top="0.75" bottom="0.75" header="0.3" footer="0.3"/>
  <pageSetup paperSize="1" orientation="portrait"/>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BP708"/>
  <sheetViews>
    <sheetView zoomScale="85" zoomScaleNormal="85" topLeftCell="A40" workbookViewId="0">
      <selection activeCell="E73" sqref="E73"/>
    </sheetView>
  </sheetViews>
  <sheetFormatPr defaultColWidth="9" defaultRowHeight="15"/>
  <cols>
    <col min="1" max="1" width="18.7142857142857" customWidth="1"/>
    <col min="2" max="2" width="25" customWidth="1"/>
    <col min="8" max="10" width="8.85714285714286"/>
    <col min="15" max="15" width="16.5714285714286" style="18" customWidth="1"/>
    <col min="16" max="16" width="16.5714285714286" customWidth="1"/>
    <col min="29" max="29" width="8.85714285714286"/>
    <col min="32" max="37" width="8.71428571428571"/>
    <col min="38" max="38" width="11.4285714285714" customWidth="1"/>
    <col min="39" max="40" width="8.71428571428571"/>
    <col min="41" max="41" width="13.1428571428571" customWidth="1"/>
    <col min="42" max="44" width="8.71428571428571"/>
    <col min="46" max="46" width="10.1428571428571" customWidth="1"/>
    <col min="47" max="47" width="12" customWidth="1"/>
    <col min="55" max="55" width="8.85714285714286"/>
    <col min="58" max="58" width="8.85714285714286"/>
  </cols>
  <sheetData>
    <row r="1" customFormat="1" ht="27.75" spans="1:68">
      <c r="A1" s="1" t="s">
        <v>90</v>
      </c>
      <c r="B1" s="1"/>
      <c r="C1" s="1"/>
      <c r="D1" s="1"/>
      <c r="E1" s="1"/>
      <c r="F1" s="1"/>
      <c r="G1" s="1"/>
      <c r="H1" s="1"/>
      <c r="I1" s="1"/>
      <c r="J1" s="1"/>
      <c r="K1" s="1"/>
      <c r="L1" s="1"/>
      <c r="M1" s="1"/>
      <c r="N1" s="1" t="s">
        <v>434</v>
      </c>
      <c r="O1" s="1"/>
      <c r="P1" s="1"/>
      <c r="Q1" s="1"/>
      <c r="R1" s="1"/>
      <c r="S1" s="1"/>
      <c r="T1" s="1"/>
      <c r="U1" s="1"/>
      <c r="V1" s="1"/>
      <c r="W1" s="1"/>
      <c r="X1" s="1"/>
    </row>
    <row r="2" customFormat="1" spans="1:68">
      <c r="A2" s="2"/>
      <c r="B2" s="2" t="s">
        <v>91</v>
      </c>
      <c r="C2" s="3"/>
      <c r="D2" s="4"/>
      <c r="E2" s="2"/>
      <c r="F2" s="2"/>
      <c r="G2" s="2"/>
      <c r="H2" s="2"/>
      <c r="I2" s="2"/>
      <c r="J2" s="2"/>
      <c r="K2" s="2"/>
      <c r="L2" s="2"/>
      <c r="M2" s="2"/>
      <c r="AF2" s="19" t="s">
        <v>435</v>
      </c>
      <c r="AG2" s="19"/>
      <c r="AH2" s="19"/>
      <c r="AI2" s="19"/>
      <c r="AJ2" s="19"/>
      <c r="AK2" s="19"/>
      <c r="AL2" s="19"/>
      <c r="AM2" s="19"/>
      <c r="AN2" s="19"/>
      <c r="AO2" s="19"/>
      <c r="AP2" s="19"/>
      <c r="AQ2" s="19"/>
      <c r="AR2" s="19"/>
    </row>
    <row r="3" customFormat="1" ht="15.75" spans="1:68">
      <c r="A3" s="2"/>
      <c r="B3" s="2" t="s">
        <v>92</v>
      </c>
      <c r="C3" s="5"/>
      <c r="D3" s="4"/>
      <c r="E3" s="2"/>
      <c r="F3" s="20"/>
      <c r="G3" s="21"/>
      <c r="H3" s="21"/>
      <c r="I3" s="21"/>
      <c r="J3" s="21"/>
      <c r="K3" s="22"/>
      <c r="L3" s="2"/>
      <c r="M3" s="2"/>
      <c r="O3" t="s">
        <v>436</v>
      </c>
    </row>
    <row r="4" customFormat="1" ht="15.75" spans="1:68">
      <c r="A4" s="2"/>
      <c r="B4" s="2" t="s">
        <v>96</v>
      </c>
      <c r="C4" s="6"/>
      <c r="D4" s="4"/>
      <c r="E4" s="2"/>
      <c r="F4" s="20"/>
      <c r="G4" s="21"/>
      <c r="H4" s="21"/>
      <c r="I4" s="21"/>
      <c r="J4" s="21"/>
      <c r="K4" s="22"/>
      <c r="L4" s="2"/>
      <c r="M4" s="2"/>
      <c r="N4" s="23"/>
      <c r="O4" s="24"/>
      <c r="P4" s="25" t="s">
        <v>437</v>
      </c>
      <c r="Q4" s="25"/>
      <c r="R4" s="25"/>
      <c r="S4" s="25"/>
      <c r="T4" s="25"/>
      <c r="U4" s="25"/>
      <c r="V4" s="25"/>
      <c r="W4" s="25"/>
      <c r="X4" s="25"/>
      <c r="Y4" s="25"/>
      <c r="Z4" s="25"/>
      <c r="AA4" s="25"/>
      <c r="AB4" s="25"/>
      <c r="AC4" s="25"/>
      <c r="AD4" s="25"/>
      <c r="AE4" s="26"/>
      <c r="AF4" s="25"/>
      <c r="AG4" s="25"/>
      <c r="AH4" s="25"/>
      <c r="AI4" s="25"/>
      <c r="AJ4" s="25"/>
      <c r="AK4" s="25"/>
      <c r="AL4" s="25"/>
      <c r="AM4" s="25"/>
      <c r="AN4" s="25"/>
      <c r="AO4" s="25"/>
      <c r="AP4" s="25"/>
      <c r="AQ4" s="25"/>
      <c r="AR4" s="25"/>
      <c r="AS4" s="27" t="s">
        <v>438</v>
      </c>
      <c r="AT4" s="25"/>
      <c r="AU4" s="25"/>
      <c r="AV4" s="25"/>
      <c r="AW4" s="25"/>
      <c r="AX4" s="25"/>
      <c r="AY4" s="25"/>
      <c r="AZ4" s="25"/>
      <c r="BA4" s="25"/>
      <c r="BB4" s="25"/>
      <c r="BC4" s="25"/>
      <c r="BD4" s="25"/>
      <c r="BE4" s="26"/>
      <c r="BF4" s="27" t="s">
        <v>439</v>
      </c>
      <c r="BG4" s="25"/>
      <c r="BH4" s="26"/>
      <c r="BI4" s="27" t="s">
        <v>440</v>
      </c>
      <c r="BJ4" s="25"/>
      <c r="BK4" s="26"/>
      <c r="BL4" s="28" t="s">
        <v>441</v>
      </c>
      <c r="BM4" s="29"/>
    </row>
    <row r="5" customFormat="1" spans="1:68">
      <c r="A5" s="2"/>
      <c r="D5" s="4"/>
      <c r="E5" s="2"/>
      <c r="F5" s="2"/>
      <c r="G5" s="2"/>
      <c r="H5" s="2"/>
      <c r="I5" s="2"/>
      <c r="J5" s="2"/>
      <c r="K5" s="2"/>
      <c r="L5" s="2"/>
      <c r="M5" s="2"/>
      <c r="N5" s="30"/>
      <c r="O5" s="31"/>
      <c r="P5" s="32"/>
      <c r="Q5" s="33" t="s">
        <v>442</v>
      </c>
      <c r="R5" s="33"/>
      <c r="S5" s="33"/>
      <c r="T5" s="34" t="s">
        <v>443</v>
      </c>
      <c r="U5" s="34"/>
      <c r="V5" s="34"/>
      <c r="W5" s="34" t="s">
        <v>443</v>
      </c>
      <c r="X5" s="34"/>
      <c r="Y5" s="34"/>
      <c r="Z5" s="34" t="s">
        <v>444</v>
      </c>
      <c r="AA5" s="34"/>
      <c r="AB5" s="34"/>
      <c r="AC5" s="35" t="s">
        <v>445</v>
      </c>
      <c r="AD5" s="34"/>
      <c r="AE5" s="36"/>
      <c r="AF5" s="34"/>
      <c r="AG5" s="33" t="s">
        <v>442</v>
      </c>
      <c r="AH5" s="33"/>
      <c r="AI5" s="33"/>
      <c r="AJ5" s="37" t="s">
        <v>443</v>
      </c>
      <c r="AK5" s="37"/>
      <c r="AL5" s="37"/>
      <c r="AM5" s="34" t="s">
        <v>446</v>
      </c>
      <c r="AN5" s="34"/>
      <c r="AO5" s="34"/>
      <c r="AP5" s="38" t="s">
        <v>445</v>
      </c>
      <c r="AQ5" s="37"/>
      <c r="AR5" s="39"/>
      <c r="AS5" s="32"/>
      <c r="AT5" s="34" t="s">
        <v>447</v>
      </c>
      <c r="AU5" s="34"/>
      <c r="AV5" s="34"/>
      <c r="AW5" s="34" t="s">
        <v>448</v>
      </c>
      <c r="AX5" s="34"/>
      <c r="AY5" s="34"/>
      <c r="AZ5" s="34" t="s">
        <v>449</v>
      </c>
      <c r="BA5" s="34"/>
      <c r="BB5" s="34"/>
      <c r="BC5" s="35" t="s">
        <v>445</v>
      </c>
      <c r="BD5" s="34"/>
      <c r="BE5" s="36"/>
      <c r="BF5" s="35" t="s">
        <v>445</v>
      </c>
      <c r="BG5" s="34"/>
      <c r="BH5" s="36"/>
      <c r="BI5" s="35" t="s">
        <v>445</v>
      </c>
      <c r="BJ5" s="34"/>
      <c r="BK5" s="36"/>
      <c r="BL5" s="35" t="s">
        <v>445</v>
      </c>
      <c r="BM5" s="40"/>
    </row>
    <row r="6" customFormat="1" ht="15.75" spans="1:68">
      <c r="A6" s="7" t="s">
        <v>97</v>
      </c>
      <c r="B6" s="7" t="s">
        <v>98</v>
      </c>
      <c r="C6" s="7" t="s">
        <v>99</v>
      </c>
      <c r="D6" s="4"/>
      <c r="E6" s="8" t="s">
        <v>100</v>
      </c>
      <c r="F6" s="8"/>
      <c r="G6" s="8"/>
      <c r="H6" s="8"/>
      <c r="I6" s="8"/>
      <c r="J6" s="8"/>
      <c r="K6" s="8"/>
      <c r="L6" s="8"/>
      <c r="M6" s="41"/>
      <c r="N6" s="30"/>
      <c r="O6" s="31"/>
      <c r="P6" s="42" t="s">
        <v>450</v>
      </c>
      <c r="Q6" s="32" t="s">
        <v>451</v>
      </c>
      <c r="R6" s="42" t="s">
        <v>452</v>
      </c>
      <c r="S6" s="42" t="s">
        <v>453</v>
      </c>
      <c r="T6" s="42" t="s">
        <v>451</v>
      </c>
      <c r="U6" s="42" t="s">
        <v>452</v>
      </c>
      <c r="V6" s="42" t="s">
        <v>453</v>
      </c>
      <c r="W6" s="43" t="s">
        <v>451</v>
      </c>
      <c r="X6" s="42" t="s">
        <v>452</v>
      </c>
      <c r="Y6" s="42" t="s">
        <v>453</v>
      </c>
      <c r="Z6" s="43" t="s">
        <v>451</v>
      </c>
      <c r="AA6" s="43" t="s">
        <v>452</v>
      </c>
      <c r="AB6" s="43" t="s">
        <v>453</v>
      </c>
      <c r="AC6" s="44" t="s">
        <v>454</v>
      </c>
      <c r="AD6" s="43" t="s">
        <v>452</v>
      </c>
      <c r="AE6" s="45" t="s">
        <v>453</v>
      </c>
      <c r="AF6" s="46" t="s">
        <v>450</v>
      </c>
      <c r="AG6" s="47" t="s">
        <v>451</v>
      </c>
      <c r="AH6" s="47" t="s">
        <v>455</v>
      </c>
      <c r="AI6" s="47" t="s">
        <v>453</v>
      </c>
      <c r="AJ6" s="47" t="s">
        <v>451</v>
      </c>
      <c r="AK6" s="47" t="s">
        <v>455</v>
      </c>
      <c r="AL6" s="47" t="s">
        <v>453</v>
      </c>
      <c r="AM6" s="47" t="s">
        <v>451</v>
      </c>
      <c r="AN6" s="47" t="s">
        <v>455</v>
      </c>
      <c r="AO6" s="47" t="s">
        <v>453</v>
      </c>
      <c r="AP6" s="48" t="s">
        <v>454</v>
      </c>
      <c r="AQ6" s="49" t="s">
        <v>452</v>
      </c>
      <c r="AR6" s="50" t="s">
        <v>453</v>
      </c>
      <c r="AS6" s="42" t="s">
        <v>456</v>
      </c>
      <c r="AT6" s="43" t="s">
        <v>451</v>
      </c>
      <c r="AU6" s="43" t="s">
        <v>455</v>
      </c>
      <c r="AV6" s="43" t="s">
        <v>453</v>
      </c>
      <c r="AW6" s="43" t="s">
        <v>451</v>
      </c>
      <c r="AX6" s="43" t="s">
        <v>455</v>
      </c>
      <c r="AY6" s="43" t="s">
        <v>453</v>
      </c>
      <c r="AZ6" s="43" t="s">
        <v>451</v>
      </c>
      <c r="BA6" s="43" t="s">
        <v>455</v>
      </c>
      <c r="BB6" s="43" t="s">
        <v>453</v>
      </c>
      <c r="BC6" s="44" t="s">
        <v>454</v>
      </c>
      <c r="BD6" s="43" t="s">
        <v>452</v>
      </c>
      <c r="BE6" s="45" t="s">
        <v>453</v>
      </c>
      <c r="BF6" s="44" t="s">
        <v>454</v>
      </c>
      <c r="BG6" s="43" t="s">
        <v>452</v>
      </c>
      <c r="BH6" s="45" t="s">
        <v>453</v>
      </c>
      <c r="BI6" s="44" t="s">
        <v>454</v>
      </c>
      <c r="BJ6" s="43" t="s">
        <v>452</v>
      </c>
      <c r="BK6" s="45" t="s">
        <v>453</v>
      </c>
      <c r="BL6" s="43" t="s">
        <v>452</v>
      </c>
      <c r="BM6" s="43" t="s">
        <v>453</v>
      </c>
    </row>
    <row r="7" customFormat="1" ht="15.75" spans="1:68">
      <c r="A7" s="7"/>
      <c r="B7" s="7"/>
      <c r="C7" s="7"/>
      <c r="D7" s="4"/>
      <c r="E7" s="8"/>
      <c r="F7" s="8"/>
      <c r="G7" s="8"/>
      <c r="H7" s="8"/>
      <c r="I7" s="8"/>
      <c r="J7" s="8"/>
      <c r="K7" s="8"/>
      <c r="L7" s="8"/>
      <c r="M7" s="41"/>
      <c r="N7" t="s">
        <v>457</v>
      </c>
      <c r="O7" s="24">
        <f>fcross</f>
        <v>700</v>
      </c>
      <c r="P7" s="51" t="str">
        <f>COMPLEX(ADC_VINmin,0)</f>
        <v>125,581395348837</v>
      </c>
      <c r="Q7" s="52" t="str">
        <f>IMSUM(COMPLEX(1,0),IMDIV(COMPLEX(0,2*PI()*O7),COMPLEX(wp_lf_VINmin,0)))</f>
        <v>1+26,3484645253634i</v>
      </c>
      <c r="R7" s="52">
        <f t="shared" ref="R7:R13" si="0">IMABS(Q7)</f>
        <v>26.3674341346354</v>
      </c>
      <c r="S7" s="52">
        <f t="shared" ref="S7:S13" si="1">IMARGUMENT(Q7)</f>
        <v>1.53286165802834</v>
      </c>
      <c r="T7" s="52" t="str">
        <f>IMSUM(COMPLEX(1,0),IMDIV(COMPLEX(0,2*PI()*O7),COMPLEX(wz_esr_VINmin,0)))</f>
        <v>1+0,0689642419316032i</v>
      </c>
      <c r="U7" s="52">
        <f t="shared" ref="U7:U13" si="2">IMABS(T7)</f>
        <v>1.00237521251535</v>
      </c>
      <c r="V7" s="52">
        <f t="shared" ref="V7:V13" si="3">IMARGUMENT(T7)</f>
        <v>0.0688552200281267</v>
      </c>
      <c r="W7" s="53" t="str">
        <f>IMSUB(COMPLEX(1,0),IMDIV(COMPLEX(0,2*PI()*O7),COMPLEX(wz_RHP_VINmin,0)))</f>
        <v>1-0,112399203828435i</v>
      </c>
      <c r="X7" s="52">
        <f t="shared" ref="X7:X13" si="4">IMABS(W7)</f>
        <v>1.00629696462886</v>
      </c>
      <c r="Y7" s="52">
        <f t="shared" ref="Y7:Y13" si="5">IMARGUMENT(W7)</f>
        <v>-0.111929424897883</v>
      </c>
      <c r="Z7" s="53" t="str">
        <f>IMSUM(COMPLEX(1,0),IMDIV(COMPLEX(0,2*PI()*O7),COMPLEX(Q_VINmin*(wsl_VINmin/2),0)),IMDIV(IMPOWER(COMPLEX(0,2*PI()*O7),2),IMPOWER(COMPLEX(wsl_VINmin/2,0),2)))</f>
        <v>0,999996+0,0141235078426602i</v>
      </c>
      <c r="AA7" s="52">
        <f t="shared" ref="AA7:AA13" si="6">IMABS(Z7)</f>
        <v>1.00009573216257</v>
      </c>
      <c r="AB7" s="52">
        <f t="shared" ref="AB7:AB13" si="7">IMARGUMENT(Z7)</f>
        <v>0.0141226253496381</v>
      </c>
      <c r="AC7" s="54" t="str">
        <f t="shared" ref="AC7:AC13" si="8">(IMDIV(IMPRODUCT(P7,T7,W7),IMPRODUCT(Q7,Z7)))</f>
        <v>-0,0925231699988808-4,80276977007151i</v>
      </c>
      <c r="AD7" s="55">
        <f t="shared" ref="AD7:AD13" si="9">20*LOG(IMABS(AC7))</f>
        <v>13.6314468342959</v>
      </c>
      <c r="AE7" s="24">
        <f t="shared" ref="AE7:AE13" si="10">(180/PI())*IMARGUMENT(AC7)</f>
        <v>-91.1036405555472</v>
      </c>
      <c r="AF7" s="32" t="str">
        <f>COMPLEX($B$68,0)</f>
        <v>748,315388573934</v>
      </c>
      <c r="AG7" s="32" t="str">
        <f t="shared" ref="AG7:AG13" si="11">IMSUM(COMPLEX(1,0),IMDIV(COMPLEX(0,2*PI()*O7),COMPLEX(wp_lf_DCM,0)))</f>
        <v>1+21,8934101370169i</v>
      </c>
      <c r="AH7" s="32">
        <f>IMABS(AG7)</f>
        <v>21.9162361601538</v>
      </c>
      <c r="AI7" s="32">
        <f>IMARGUMENT(AG7)</f>
        <v>1.52515220669796</v>
      </c>
      <c r="AJ7" s="32" t="str">
        <f t="shared" ref="AJ7:AJ13" si="12">IMSUM(COMPLEX(1,0),IMDIV(COMPLEX(0,2*PI()*O7),COMPLEX(wz1_dcm,0)))</f>
        <v>1+0,0689642419316032i</v>
      </c>
      <c r="AK7" s="32">
        <f>IMABS(AJ7)</f>
        <v>1.00237521251535</v>
      </c>
      <c r="AL7" s="32">
        <f>IMARGUMENT(AJ7)</f>
        <v>0.0688552200281267</v>
      </c>
      <c r="AM7" s="32" t="str">
        <f t="shared" ref="AM7:AM13" si="13">IMSUB(COMPLEX(1,0),IMDIV(COMPLEX(0,2*PI()*O7),COMPLEX(wz2_dcm,0)))</f>
        <v>1-0,011754763358539i</v>
      </c>
      <c r="AN7" s="32">
        <f>IMABS(AM7)</f>
        <v>1.00006908484445</v>
      </c>
      <c r="AO7" s="32">
        <f>IMARGUMENT(AM7)</f>
        <v>-0.0117542220007199</v>
      </c>
      <c r="AP7" s="30" t="str">
        <f>(IMDIV(IMPRODUCT(AF7,AJ7,AM7),IMPRODUCT(AG7)))</f>
        <v>3,51055549591406-34,0472980922906i</v>
      </c>
      <c r="AQ7" s="32">
        <f>20*LOG(IMABS(AP7))</f>
        <v>30.6875805079909</v>
      </c>
      <c r="AR7" s="31">
        <f>(180/PI())*IMARGUMENT(AP7)</f>
        <v>-84.1131383659018</v>
      </c>
      <c r="AS7" s="53" t="str">
        <f t="shared" ref="AS7:AS13" si="14">COMPLEX(Adc_ea,0)</f>
        <v>-0,0000504684572142411</v>
      </c>
      <c r="AT7" s="53" t="str">
        <f t="shared" ref="AT7:AT13" si="15">COMPLEX(0,2*PI()*O7*wp0_ea)</f>
        <v>0,000988282216966277i</v>
      </c>
      <c r="AU7" s="53">
        <f t="shared" ref="AU7:AU13" si="16">IMABS(AT7)</f>
        <v>0.000988282216966277</v>
      </c>
      <c r="AV7" s="53">
        <f t="shared" ref="AV7:AV13" si="17">IMARGUMENT(AT7)</f>
        <v>1.5707963267949</v>
      </c>
      <c r="AW7" s="53" t="str">
        <f t="shared" ref="AW7:AW13" si="18">IMSUM(COMPLEX(1,0),IMDIV(COMPLEX(0,2*PI()*O7),COMPLEX(wp1_ea,0)))</f>
        <v>1+0,0505982368194992i</v>
      </c>
      <c r="AX7" s="53">
        <f t="shared" ref="AX7:AX13" si="19">IMABS(AW7)</f>
        <v>1.00127927251554</v>
      </c>
      <c r="AY7" s="53">
        <f t="shared" ref="AY7:AY13" si="20">IMARGUMENT(AW7)</f>
        <v>0.0505551228035251</v>
      </c>
      <c r="AZ7" s="53" t="str">
        <f t="shared" ref="AZ7:AZ13" si="21">IMSUM(COMPLEX(1,0),IMDIV(COMPLEX(0,2*PI()*O7),COMPLEX(wz_ea,0)))</f>
        <v>1+2,41902634326414i</v>
      </c>
      <c r="BA7" s="53">
        <f t="shared" ref="BA7:BA13" si="22">IMABS(AZ7)</f>
        <v>2.61757300746433</v>
      </c>
      <c r="BB7" s="53">
        <f t="shared" ref="BB7:BB13" si="23">IMARGUMENT(AZ7)</f>
        <v>1.17880086316425</v>
      </c>
      <c r="BC7" s="23" t="str">
        <f t="shared" ref="BC7:BC13" si="24">IMPRODUCT(AS7,IMDIV(AZ7,IMPRODUCT(AT7,AW7)))</f>
        <v>-0,120639298306943+0,0571709832383833i</v>
      </c>
      <c r="BD7" s="53">
        <f t="shared" ref="BD7:BD13" si="25">20*LOG(IMABS(BC7))</f>
        <v>-17.4903474862871</v>
      </c>
      <c r="BE7" s="24">
        <f t="shared" ref="BE7:BE13" si="26">(180/PI())*IMARGUMENT(BC7)</f>
        <v>154.643719176283</v>
      </c>
      <c r="BF7" s="23" t="str">
        <f t="shared" ref="BF7:BF13" si="27">IMPRODUCT(AC7,BC7)</f>
        <v>0,285741000328371+0,574113134390057i</v>
      </c>
      <c r="BG7" s="55">
        <f t="shared" ref="BG7:BG13" si="28">20*LOG(IMABS(BF7))</f>
        <v>-3.85890065199119</v>
      </c>
      <c r="BH7" s="24">
        <f t="shared" ref="BH7:BH13" si="29">(180/PI())*IMARGUMENT(BF7)</f>
        <v>63.5400786207357</v>
      </c>
      <c r="BI7" s="23" t="str">
        <f>IMPRODUCT(AP7,BC7)</f>
        <v>1,52300655685193+4,30814406051557i</v>
      </c>
      <c r="BJ7" s="55">
        <f t="shared" ref="BJ7:BJ13" si="30">20*LOG(IMABS(BI7))</f>
        <v>13.1972330217038</v>
      </c>
      <c r="BK7" s="24">
        <f t="shared" ref="BK7:BK13" si="31">(180/PI())*IMARGUMENT(BI7)</f>
        <v>70.5305808103811</v>
      </c>
      <c r="BL7">
        <f>IF($B$31=0,BJ7,BG7)</f>
        <v>-3.85890065199119</v>
      </c>
      <c r="BM7">
        <f>IF($B$31=0,BK7,BH7)</f>
        <v>63.5400786207357</v>
      </c>
    </row>
    <row r="8" customFormat="1" ht="15.75" spans="1:68">
      <c r="A8" s="7"/>
      <c r="B8" s="7"/>
      <c r="C8" s="7"/>
      <c r="D8" s="4"/>
      <c r="E8" s="8"/>
      <c r="F8" s="8"/>
      <c r="G8" s="8"/>
      <c r="H8" s="8"/>
      <c r="I8" s="8"/>
      <c r="J8" s="8"/>
      <c r="K8" s="8"/>
      <c r="L8" s="8"/>
      <c r="M8" s="41"/>
      <c r="N8" s="23" t="s">
        <v>458</v>
      </c>
      <c r="O8" s="24">
        <f>fcross</f>
        <v>700</v>
      </c>
      <c r="P8" s="51" t="str">
        <f t="shared" ref="P8:P13" si="32">COMPLEX(Adc,0)</f>
        <v>163,636363636364</v>
      </c>
      <c r="Q8" s="52" t="str">
        <f t="shared" ref="Q8:Q13" si="33">IMSUM(COMPLEX(1,0),IMDIV(COMPLEX(0,2*PI()*O8),COMPLEX(wp_lf,0)))</f>
        <v>1+26,8691851681571i</v>
      </c>
      <c r="R8" s="52">
        <f t="shared" si="0"/>
        <v>26.8877874061945</v>
      </c>
      <c r="S8" s="52">
        <f t="shared" si="1"/>
        <v>1.53359614128196</v>
      </c>
      <c r="T8" s="52" t="str">
        <f t="shared" ref="T8:T13" si="34">IMSUM(COMPLEX(1,0),IMDIV(COMPLEX(0,2*PI()*O8),COMPLEX(wz_esr,0)))</f>
        <v>1+0,0689642419316032i</v>
      </c>
      <c r="U8" s="52">
        <f t="shared" si="2"/>
        <v>1.00237521251535</v>
      </c>
      <c r="V8" s="52">
        <f t="shared" si="3"/>
        <v>0.0688552200281267</v>
      </c>
      <c r="W8" s="53" t="str">
        <f t="shared" ref="W8:W13" si="35">IMSUB(COMPLEX(1,0),IMDIV(COMPLEX(0,2*PI()*O8),COMPLEX(wz_rhp,0)))</f>
        <v>1-0,0659734457253857i</v>
      </c>
      <c r="X8" s="52">
        <f t="shared" si="4"/>
        <v>1.0021738848827</v>
      </c>
      <c r="Y8" s="52">
        <f t="shared" si="5"/>
        <v>-0.0658779785378387</v>
      </c>
      <c r="Z8" s="53" t="str">
        <f t="shared" ref="Z8:Z13" si="36">IMSUM(COMPLEX(1,0),IMDIV(COMPLEX(0,2*PI()*O8),COMPLEX(Q*(wsl/2),0)),IMDIV(IMPOWER(COMPLEX(0,2*PI()*O8),2),IMPOWER(COMPLEX(wsl/2,0),2)))</f>
        <v>0,999996+0,0136659280431156i</v>
      </c>
      <c r="AA8" s="52">
        <f t="shared" si="6"/>
        <v>1.00008937480871</v>
      </c>
      <c r="AB8" s="52">
        <f t="shared" si="7"/>
        <v>0.0136651320535636</v>
      </c>
      <c r="AC8" s="54" t="str">
        <f t="shared" si="8"/>
        <v>0,162052518474808-6,11092129148529i</v>
      </c>
      <c r="AD8" s="55">
        <f t="shared" si="9"/>
        <v>15.7251868224203</v>
      </c>
      <c r="AE8" s="24">
        <f t="shared" si="10"/>
        <v>-88.4809573941783</v>
      </c>
      <c r="AF8" s="32" t="str">
        <f t="shared" ref="AF8:AF13" si="37">COMPLEX($B$68,0)</f>
        <v>748,315388573934</v>
      </c>
      <c r="AG8" s="32" t="str">
        <f t="shared" si="11"/>
        <v>1+21,8934101370169i</v>
      </c>
      <c r="AH8" s="32">
        <f t="shared" ref="AH8:AH13" si="38">IMABS(AG8)</f>
        <v>21.9162361601538</v>
      </c>
      <c r="AI8" s="32">
        <f t="shared" ref="AI8:AI13" si="39">IMARGUMENT(AG8)</f>
        <v>1.52515220669796</v>
      </c>
      <c r="AJ8" s="32" t="str">
        <f t="shared" si="12"/>
        <v>1+0,0689642419316032i</v>
      </c>
      <c r="AK8" s="32">
        <f t="shared" ref="AK8:AK13" si="40">IMABS(AJ8)</f>
        <v>1.00237521251535</v>
      </c>
      <c r="AL8" s="32">
        <f t="shared" ref="AL8:AL13" si="41">IMARGUMENT(AJ8)</f>
        <v>0.0688552200281267</v>
      </c>
      <c r="AM8" s="32" t="str">
        <f t="shared" si="13"/>
        <v>1-0,011754763358539i</v>
      </c>
      <c r="AN8" s="32">
        <f t="shared" ref="AN8:AN13" si="42">IMABS(AM8)</f>
        <v>1.00006908484445</v>
      </c>
      <c r="AO8" s="32">
        <f t="shared" ref="AO8:AO13" si="43">IMARGUMENT(AM8)</f>
        <v>-0.0117542220007199</v>
      </c>
      <c r="AP8" s="30" t="str">
        <f t="shared" ref="AP8:AP13" si="44">(IMDIV(IMPRODUCT(AF8,AJ8,AM8),IMPRODUCT(AG8)))</f>
        <v>3,51055549591406-34,0472980922906i</v>
      </c>
      <c r="AQ8" s="32">
        <f t="shared" ref="AQ8:AQ13" si="45">20*LOG(IMABS(AP8))</f>
        <v>30.6875805079909</v>
      </c>
      <c r="AR8" s="31">
        <f t="shared" ref="AR8:AR13" si="46">(180/PI())*IMARGUMENT(AP8)</f>
        <v>-84.1131383659018</v>
      </c>
      <c r="AS8" s="53" t="str">
        <f t="shared" si="14"/>
        <v>-0,0000504684572142411</v>
      </c>
      <c r="AT8" s="53" t="str">
        <f t="shared" si="15"/>
        <v>0,000988282216966277i</v>
      </c>
      <c r="AU8" s="53">
        <f t="shared" si="16"/>
        <v>0.000988282216966277</v>
      </c>
      <c r="AV8" s="53">
        <f t="shared" si="17"/>
        <v>1.5707963267949</v>
      </c>
      <c r="AW8" s="53" t="str">
        <f t="shared" si="18"/>
        <v>1+0,0505982368194992i</v>
      </c>
      <c r="AX8" s="53">
        <f t="shared" si="19"/>
        <v>1.00127927251554</v>
      </c>
      <c r="AY8" s="53">
        <f t="shared" si="20"/>
        <v>0.0505551228035251</v>
      </c>
      <c r="AZ8" s="53" t="str">
        <f t="shared" si="21"/>
        <v>1+2,41902634326414i</v>
      </c>
      <c r="BA8" s="53">
        <f t="shared" si="22"/>
        <v>2.61757300746433</v>
      </c>
      <c r="BB8" s="53">
        <f t="shared" si="23"/>
        <v>1.17880086316425</v>
      </c>
      <c r="BC8" s="23" t="str">
        <f t="shared" si="24"/>
        <v>-0,120639298306943+0,0571709832383833i</v>
      </c>
      <c r="BD8" s="53">
        <f t="shared" si="25"/>
        <v>-17.4903474862871</v>
      </c>
      <c r="BE8" s="24">
        <f t="shared" si="26"/>
        <v>154.643719176283</v>
      </c>
      <c r="BF8" s="23" t="str">
        <f t="shared" si="27"/>
        <v>0,329817476608911+0,746481958431204i</v>
      </c>
      <c r="BG8" s="55">
        <f t="shared" si="28"/>
        <v>-1.7651606638668</v>
      </c>
      <c r="BH8" s="24">
        <f t="shared" si="29"/>
        <v>66.1627617821046</v>
      </c>
      <c r="BI8" s="23" t="str">
        <f t="shared" ref="BI8:BI13" si="47">IMPRODUCT(AP8,BC8)</f>
        <v>1,52300655685193+4,30814406051557i</v>
      </c>
      <c r="BJ8" s="55">
        <f t="shared" si="30"/>
        <v>13.1972330217038</v>
      </c>
      <c r="BK8" s="24">
        <f t="shared" si="31"/>
        <v>70.5305808103811</v>
      </c>
      <c r="BL8">
        <f t="shared" ref="BL8:BL13" si="48">IF($B$31=0,BJ8,BG8)</f>
        <v>-1.7651606638668</v>
      </c>
      <c r="BM8">
        <f t="shared" ref="BM8:BM13" si="49">IF($B$31=0,BK8,BH8)</f>
        <v>66.1627617821046</v>
      </c>
    </row>
    <row r="9" customFormat="1" ht="15.75" spans="1:68">
      <c r="A9" s="56" t="s">
        <v>459</v>
      </c>
      <c r="B9" s="7"/>
      <c r="C9" s="7"/>
      <c r="D9" s="4"/>
      <c r="E9" s="8"/>
      <c r="F9" s="8"/>
      <c r="G9" s="8"/>
      <c r="H9" s="8"/>
      <c r="I9" s="8"/>
      <c r="J9" s="8"/>
      <c r="K9" s="8"/>
      <c r="L9" s="8"/>
      <c r="M9" s="41"/>
      <c r="N9" s="57" t="s">
        <v>446</v>
      </c>
      <c r="O9" s="58">
        <f>IF($B$31=0,B74,wz_rhp/(2*PI()))</f>
        <v>10610.3295394597</v>
      </c>
      <c r="P9" s="59" t="str">
        <f t="shared" si="32"/>
        <v>163,636363636364</v>
      </c>
      <c r="Q9" s="60" t="str">
        <f t="shared" si="33"/>
        <v>1+407,272727272727i</v>
      </c>
      <c r="R9" s="60">
        <f t="shared" si="0"/>
        <v>407.273954949448</v>
      </c>
      <c r="S9" s="60">
        <f t="shared" si="1"/>
        <v>1.56834097458629</v>
      </c>
      <c r="T9" s="60" t="str">
        <f t="shared" si="34"/>
        <v>1+1,04533333333333i</v>
      </c>
      <c r="U9" s="60">
        <f t="shared" si="2"/>
        <v>1.44662426973204</v>
      </c>
      <c r="V9" s="60">
        <f t="shared" si="3"/>
        <v>0.807558811430126</v>
      </c>
      <c r="W9" s="61" t="str">
        <f t="shared" si="35"/>
        <v>1-i</v>
      </c>
      <c r="X9" s="60">
        <f t="shared" si="4"/>
        <v>1.4142135623731</v>
      </c>
      <c r="Y9" s="60">
        <f t="shared" si="5"/>
        <v>-0.785398163397448</v>
      </c>
      <c r="Z9" s="61" t="str">
        <f t="shared" si="36"/>
        <v>0,999080986996441+0,207142857142857i</v>
      </c>
      <c r="AA9" s="60">
        <f t="shared" si="6"/>
        <v>1.02032885965413</v>
      </c>
      <c r="AB9" s="60">
        <f t="shared" si="7"/>
        <v>0.20443685860476</v>
      </c>
      <c r="AC9" s="62" t="str">
        <f t="shared" si="8"/>
        <v>-0,144085663248937-0,79261814807069i</v>
      </c>
      <c r="AD9" s="63">
        <f t="shared" si="9"/>
        <v>-1.87752487986857</v>
      </c>
      <c r="AE9" s="64">
        <f t="shared" si="10"/>
        <v>-100.302976252647</v>
      </c>
      <c r="AF9" s="32" t="str">
        <f t="shared" si="37"/>
        <v>748,315388573934</v>
      </c>
      <c r="AG9" s="32" t="str">
        <f t="shared" si="11"/>
        <v>1+331,851851851852i</v>
      </c>
      <c r="AH9" s="32">
        <f t="shared" si="38"/>
        <v>331.85335854486</v>
      </c>
      <c r="AI9" s="32">
        <f t="shared" si="39"/>
        <v>1.56778294305878</v>
      </c>
      <c r="AJ9" s="32" t="str">
        <f t="shared" si="12"/>
        <v>1+1,04533333333333i</v>
      </c>
      <c r="AK9" s="32">
        <f t="shared" si="40"/>
        <v>1.44662426973204</v>
      </c>
      <c r="AL9" s="32">
        <f t="shared" si="41"/>
        <v>0.807558811430126</v>
      </c>
      <c r="AM9" s="32" t="str">
        <f t="shared" si="13"/>
        <v>1-0,17817416127495i</v>
      </c>
      <c r="AN9" s="32">
        <f t="shared" si="42"/>
        <v>1.01574900036674</v>
      </c>
      <c r="AO9" s="32">
        <f t="shared" si="43"/>
        <v>-0.176323838815752</v>
      </c>
      <c r="AP9" s="30" t="str">
        <f t="shared" si="44"/>
        <v>1,96345927166339-2,66904254286839i</v>
      </c>
      <c r="AQ9" s="32">
        <f t="shared" si="45"/>
        <v>10.4056121890959</v>
      </c>
      <c r="AR9" s="31">
        <f t="shared" si="46"/>
        <v>-53.6602460180074</v>
      </c>
      <c r="AS9" s="61" t="str">
        <f t="shared" si="14"/>
        <v>-0,0000504684572142411</v>
      </c>
      <c r="AT9" s="61" t="str">
        <f t="shared" si="15"/>
        <v>0,01498i</v>
      </c>
      <c r="AU9" s="61">
        <f t="shared" si="16"/>
        <v>0.01498</v>
      </c>
      <c r="AV9" s="61">
        <f t="shared" si="17"/>
        <v>1.5707963267949</v>
      </c>
      <c r="AW9" s="61" t="str">
        <f t="shared" si="18"/>
        <v>1+0,766948523957869i</v>
      </c>
      <c r="AX9" s="61">
        <f t="shared" si="19"/>
        <v>1.26024205548028</v>
      </c>
      <c r="AY9" s="61">
        <f t="shared" si="20"/>
        <v>0.654260217094815</v>
      </c>
      <c r="AZ9" s="61" t="str">
        <f t="shared" si="21"/>
        <v>1+36,6666666666666i</v>
      </c>
      <c r="BA9" s="61">
        <f t="shared" si="22"/>
        <v>36.6803004955581</v>
      </c>
      <c r="BB9" s="61">
        <f t="shared" si="23"/>
        <v>1.5435303583393</v>
      </c>
      <c r="BC9" s="57" t="str">
        <f t="shared" si="24"/>
        <v>-0,0761537541575748+0,0617750652338037i</v>
      </c>
      <c r="BD9" s="61">
        <f t="shared" si="25"/>
        <v>-20.1702573594556</v>
      </c>
      <c r="BE9" s="64">
        <f t="shared" si="26"/>
        <v>140.951425940312</v>
      </c>
      <c r="BF9" s="57" t="str">
        <f t="shared" si="27"/>
        <v>0,0599367019792542+0,0514599463425486i</v>
      </c>
      <c r="BG9" s="63">
        <f t="shared" si="28"/>
        <v>-22.0477822393242</v>
      </c>
      <c r="BH9" s="64">
        <f t="shared" si="29"/>
        <v>40.6484496876648</v>
      </c>
      <c r="BI9" s="23" t="str">
        <f t="shared" si="47"/>
        <v>0,0153554825248274+0,32455043423663i</v>
      </c>
      <c r="BJ9" s="63">
        <f t="shared" si="30"/>
        <v>-9.7646451703597</v>
      </c>
      <c r="BK9" s="64">
        <f t="shared" si="31"/>
        <v>87.2911799223043</v>
      </c>
      <c r="BL9">
        <f t="shared" si="48"/>
        <v>-22.0477822393242</v>
      </c>
      <c r="BM9">
        <f t="shared" si="49"/>
        <v>40.6484496876648</v>
      </c>
    </row>
    <row r="10" customFormat="1" ht="15.75" spans="1:68">
      <c r="A10" t="s">
        <v>104</v>
      </c>
      <c r="B10" s="15">
        <f>VIN_min</f>
        <v>3</v>
      </c>
      <c r="C10" t="s">
        <v>7</v>
      </c>
      <c r="E10" t="s">
        <v>105</v>
      </c>
      <c r="N10" s="30" t="s">
        <v>443</v>
      </c>
      <c r="O10" s="65">
        <f>IF(B31=0,B72,wz_esr/(2*PI()))</f>
        <v>10150.1876971872</v>
      </c>
      <c r="P10" s="66" t="str">
        <f t="shared" si="32"/>
        <v>163,636363636364</v>
      </c>
      <c r="Q10" s="42" t="str">
        <f t="shared" si="33"/>
        <v>1+389,61038961039i</v>
      </c>
      <c r="R10" s="42">
        <f t="shared" si="0"/>
        <v>389.61167294161</v>
      </c>
      <c r="S10" s="42">
        <f t="shared" si="1"/>
        <v>1.56822966576442</v>
      </c>
      <c r="T10" s="42" t="str">
        <f t="shared" si="34"/>
        <v>1+i</v>
      </c>
      <c r="U10" s="42">
        <f t="shared" si="2"/>
        <v>1.4142135623731</v>
      </c>
      <c r="V10" s="42">
        <f t="shared" si="3"/>
        <v>0.785398163397448</v>
      </c>
      <c r="W10" s="32" t="str">
        <f t="shared" si="35"/>
        <v>1-0,956632653061225i</v>
      </c>
      <c r="X10" s="42">
        <f t="shared" si="4"/>
        <v>1.38388801313652</v>
      </c>
      <c r="Y10" s="42">
        <f t="shared" si="5"/>
        <v>-0.763237515364769</v>
      </c>
      <c r="Z10" s="32" t="str">
        <f t="shared" si="36"/>
        <v>0,999158968895607+0,198159620991254i</v>
      </c>
      <c r="AA10" s="42">
        <f t="shared" si="6"/>
        <v>1.01861959558803</v>
      </c>
      <c r="AB10" s="42">
        <f t="shared" si="7"/>
        <v>0.195785831313889</v>
      </c>
      <c r="AC10" s="67" t="str">
        <f t="shared" si="8"/>
        <v>-0,137365111130546-0,795182105412948i</v>
      </c>
      <c r="AD10" s="68">
        <f t="shared" si="9"/>
        <v>-1.86296442590919</v>
      </c>
      <c r="AE10" s="31">
        <f t="shared" si="10"/>
        <v>-99.8009313747116</v>
      </c>
      <c r="AF10" s="32" t="str">
        <f t="shared" si="37"/>
        <v>748,315388573934</v>
      </c>
      <c r="AG10" s="32" t="str">
        <f t="shared" si="11"/>
        <v>1+317,460317460318i</v>
      </c>
      <c r="AH10" s="32">
        <f t="shared" si="38"/>
        <v>317.461892456411</v>
      </c>
      <c r="AI10" s="32">
        <f t="shared" si="39"/>
        <v>1.56764633721346</v>
      </c>
      <c r="AJ10" s="32" t="str">
        <f t="shared" si="12"/>
        <v>1+i</v>
      </c>
      <c r="AK10" s="32">
        <f t="shared" si="40"/>
        <v>1.4142135623731</v>
      </c>
      <c r="AL10" s="32">
        <f t="shared" si="41"/>
        <v>0.785398163397448</v>
      </c>
      <c r="AM10" s="32" t="str">
        <f t="shared" si="13"/>
        <v>1-0,170447220607413i</v>
      </c>
      <c r="AN10" s="32">
        <f t="shared" si="42"/>
        <v>1.01442212860958</v>
      </c>
      <c r="AO10" s="32">
        <f t="shared" si="43"/>
        <v>-0.168824783968077</v>
      </c>
      <c r="AP10" s="30" t="str">
        <f t="shared" si="44"/>
        <v>1,96408766650221-2,75278367393698i</v>
      </c>
      <c r="AQ10" s="32">
        <f t="shared" si="45"/>
        <v>10.5825357520793</v>
      </c>
      <c r="AR10" s="31">
        <f t="shared" si="46"/>
        <v>-54.4924664900522</v>
      </c>
      <c r="AS10" s="32" t="str">
        <f t="shared" si="14"/>
        <v>-0,0000504684572142411</v>
      </c>
      <c r="AT10" s="32" t="str">
        <f t="shared" si="15"/>
        <v>0,0143303571428571i</v>
      </c>
      <c r="AU10" s="32">
        <f t="shared" si="16"/>
        <v>0.0143303571428571</v>
      </c>
      <c r="AV10" s="32">
        <f t="shared" si="17"/>
        <v>1.5707963267949</v>
      </c>
      <c r="AW10" s="32" t="str">
        <f t="shared" si="18"/>
        <v>1+0,733688001235207i</v>
      </c>
      <c r="AX10" s="32">
        <f t="shared" si="19"/>
        <v>1.24028145320186</v>
      </c>
      <c r="AY10" s="32">
        <f t="shared" si="20"/>
        <v>0.632979432637693</v>
      </c>
      <c r="AZ10" s="32" t="str">
        <f t="shared" si="21"/>
        <v>1+35,0765306122448i</v>
      </c>
      <c r="BA10" s="32">
        <f t="shared" si="22"/>
        <v>35.0907822624653</v>
      </c>
      <c r="BB10" s="32">
        <f t="shared" si="23"/>
        <v>1.54229495588286</v>
      </c>
      <c r="BC10" s="30" t="str">
        <f t="shared" si="24"/>
        <v>-0,0786246554808249+0,06120775274996i</v>
      </c>
      <c r="BD10" s="32">
        <f t="shared" si="25"/>
        <v>-20.0312836961169</v>
      </c>
      <c r="BE10" s="31">
        <f t="shared" si="26"/>
        <v>142.099941727678</v>
      </c>
      <c r="BF10" s="30" t="str">
        <f t="shared" si="27"/>
        <v>0,0594715942370328+0,0541131093240608i</v>
      </c>
      <c r="BG10" s="68">
        <f t="shared" si="28"/>
        <v>-21.8942481220261</v>
      </c>
      <c r="BH10" s="31">
        <f t="shared" si="29"/>
        <v>42.2990103529666</v>
      </c>
      <c r="BI10" s="23" t="str">
        <f t="shared" si="47"/>
        <v>0,0140659863755876+0,336654060247048i</v>
      </c>
      <c r="BJ10" s="68">
        <f t="shared" si="30"/>
        <v>-9.44874794403759</v>
      </c>
      <c r="BK10" s="31">
        <f t="shared" si="31"/>
        <v>87.607475237626</v>
      </c>
      <c r="BL10">
        <f t="shared" si="48"/>
        <v>-21.8942481220261</v>
      </c>
      <c r="BM10">
        <f t="shared" si="49"/>
        <v>42.2990103529666</v>
      </c>
    </row>
    <row r="11" customFormat="1" ht="15.75" spans="1:68">
      <c r="A11" t="s">
        <v>106</v>
      </c>
      <c r="B11" s="15">
        <f>VIN_nom</f>
        <v>3.7</v>
      </c>
      <c r="C11" t="s">
        <v>7</v>
      </c>
      <c r="E11" t="s">
        <v>107</v>
      </c>
      <c r="N11" s="69" t="s">
        <v>442</v>
      </c>
      <c r="O11" s="70">
        <f>IF(B31=0,B70,wp_lf/(2*PI()))</f>
        <v>26.0521484227805</v>
      </c>
      <c r="P11" s="71" t="str">
        <f t="shared" si="32"/>
        <v>163,636363636364</v>
      </c>
      <c r="Q11" s="72" t="str">
        <f t="shared" si="33"/>
        <v>1+i</v>
      </c>
      <c r="R11" s="72">
        <f t="shared" si="0"/>
        <v>1.4142135623731</v>
      </c>
      <c r="S11" s="72">
        <f t="shared" si="1"/>
        <v>0.785398163397448</v>
      </c>
      <c r="T11" s="72" t="str">
        <f t="shared" si="34"/>
        <v>1+0,00256666666666667i</v>
      </c>
      <c r="U11" s="72">
        <f t="shared" si="2"/>
        <v>1.00000329388346</v>
      </c>
      <c r="V11" s="72">
        <f t="shared" si="3"/>
        <v>0.00256666103047907</v>
      </c>
      <c r="W11" s="73" t="str">
        <f t="shared" si="35"/>
        <v>1-0,00245535714285714i</v>
      </c>
      <c r="X11" s="72">
        <f t="shared" si="4"/>
        <v>1.00000301438481</v>
      </c>
      <c r="Y11" s="72">
        <f t="shared" si="5"/>
        <v>-0.00245535220860671</v>
      </c>
      <c r="Z11" s="73" t="str">
        <f t="shared" si="36"/>
        <v>0,999999994459474+0,000508609693877551i</v>
      </c>
      <c r="AA11" s="72">
        <f t="shared" si="6"/>
        <v>1.00000012380138</v>
      </c>
      <c r="AB11" s="72">
        <f t="shared" si="7"/>
        <v>0.000508609652839156</v>
      </c>
      <c r="AC11" s="74" t="str">
        <f t="shared" si="8"/>
        <v>81,786174731508-81,8511879951171i</v>
      </c>
      <c r="AD11" s="75">
        <f t="shared" si="9"/>
        <v>41.2673501597722</v>
      </c>
      <c r="AE11" s="76">
        <f t="shared" si="10"/>
        <v>-45.0227636608114</v>
      </c>
      <c r="AF11" s="32" t="str">
        <f t="shared" si="37"/>
        <v>748,315388573934</v>
      </c>
      <c r="AG11" s="32" t="str">
        <f t="shared" si="11"/>
        <v>1+0,814814814814814i</v>
      </c>
      <c r="AH11" s="32">
        <f t="shared" si="38"/>
        <v>1.28993146424207</v>
      </c>
      <c r="AI11" s="32">
        <f t="shared" si="39"/>
        <v>0.683709311634371</v>
      </c>
      <c r="AJ11" s="32" t="str">
        <f t="shared" si="12"/>
        <v>1+0,00256666666666667i</v>
      </c>
      <c r="AK11" s="32">
        <f t="shared" si="40"/>
        <v>1.00000329388346</v>
      </c>
      <c r="AL11" s="32">
        <f t="shared" si="41"/>
        <v>0.00256666103047907</v>
      </c>
      <c r="AM11" s="32" t="str">
        <f t="shared" si="13"/>
        <v>1-0,000437481199559028i</v>
      </c>
      <c r="AN11" s="32">
        <f t="shared" si="42"/>
        <v>1.0000000956949</v>
      </c>
      <c r="AO11" s="32">
        <f t="shared" si="43"/>
        <v>-0.000437481171649218</v>
      </c>
      <c r="AP11" s="30" t="str">
        <f t="shared" si="44"/>
        <v>450,510265751299-365,489136510153i</v>
      </c>
      <c r="AQ11" s="32">
        <f t="shared" si="45"/>
        <v>55.2703902414127</v>
      </c>
      <c r="AR11" s="31">
        <f t="shared" si="46"/>
        <v>-39.051664950709</v>
      </c>
      <c r="AS11" s="73" t="str">
        <f t="shared" si="14"/>
        <v>-0,0000504684572142411</v>
      </c>
      <c r="AT11" s="73" t="str">
        <f t="shared" si="15"/>
        <v>0,00003678125i</v>
      </c>
      <c r="AU11" s="73">
        <f t="shared" si="16"/>
        <v>3.678125e-5</v>
      </c>
      <c r="AV11" s="73">
        <f t="shared" si="17"/>
        <v>1.5707963267949</v>
      </c>
      <c r="AW11" s="73" t="str">
        <f t="shared" si="18"/>
        <v>1+0,0018831325365037i</v>
      </c>
      <c r="AX11" s="73">
        <f t="shared" si="19"/>
        <v>1.0000017730925</v>
      </c>
      <c r="AY11" s="73">
        <f t="shared" si="20"/>
        <v>0.00188313031052767</v>
      </c>
      <c r="AZ11" s="73" t="str">
        <f t="shared" si="21"/>
        <v>1+0,0900297619047617i</v>
      </c>
      <c r="BA11" s="73">
        <f t="shared" si="22"/>
        <v>1.00404450002409</v>
      </c>
      <c r="BB11" s="73">
        <f t="shared" si="23"/>
        <v>0.0897876968818208</v>
      </c>
      <c r="BC11" s="69" t="str">
        <f t="shared" si="24"/>
        <v>-0,120947727911595+1,37235234076793i</v>
      </c>
      <c r="BD11" s="73">
        <f t="shared" si="25"/>
        <v>2.78291471578021</v>
      </c>
      <c r="BE11" s="76">
        <f t="shared" si="26"/>
        <v>95.0365606644619</v>
      </c>
      <c r="BF11" s="69" t="str">
        <f t="shared" si="27"/>
        <v>102,436817431378+122,139163550114i</v>
      </c>
      <c r="BG11" s="75">
        <f t="shared" si="28"/>
        <v>44.0502648755524</v>
      </c>
      <c r="BH11" s="76">
        <f t="shared" si="29"/>
        <v>50.0137970036505</v>
      </c>
      <c r="BI11" s="23" t="str">
        <f t="shared" si="47"/>
        <v>447,091678971489+662,463898381051i</v>
      </c>
      <c r="BJ11" s="75">
        <f t="shared" si="30"/>
        <v>58.0533049571929</v>
      </c>
      <c r="BK11" s="76">
        <f t="shared" si="31"/>
        <v>55.9848957137529</v>
      </c>
      <c r="BL11">
        <f t="shared" si="48"/>
        <v>44.0502648755524</v>
      </c>
      <c r="BM11">
        <f t="shared" si="49"/>
        <v>50.0137970036505</v>
      </c>
      <c r="BO11" s="77" t="s">
        <v>460</v>
      </c>
      <c r="BP11" s="77"/>
    </row>
    <row r="12" customFormat="1" ht="15.75" spans="1:68">
      <c r="A12" t="s">
        <v>108</v>
      </c>
      <c r="B12" s="15">
        <f>VIN_max</f>
        <v>12.6</v>
      </c>
      <c r="C12" t="s">
        <v>7</v>
      </c>
      <c r="E12" t="s">
        <v>109</v>
      </c>
      <c r="N12" s="57" t="s">
        <v>449</v>
      </c>
      <c r="O12" s="64">
        <f>wz_ea/(2*PI())</f>
        <v>289.372623803446</v>
      </c>
      <c r="P12" s="59" t="str">
        <f t="shared" si="32"/>
        <v>163,636363636364</v>
      </c>
      <c r="Q12" s="60" t="str">
        <f t="shared" si="33"/>
        <v>1+11,1074380165289i</v>
      </c>
      <c r="R12" s="60">
        <f t="shared" si="0"/>
        <v>11.1523620498543</v>
      </c>
      <c r="S12" s="60">
        <f t="shared" si="1"/>
        <v>1.48100862991308</v>
      </c>
      <c r="T12" s="60" t="str">
        <f t="shared" si="34"/>
        <v>1+0,028509090909091i</v>
      </c>
      <c r="U12" s="60">
        <f t="shared" si="2"/>
        <v>1.00040630159174</v>
      </c>
      <c r="V12" s="60">
        <f t="shared" si="3"/>
        <v>0.0285013709120361</v>
      </c>
      <c r="W12" s="61" t="str">
        <f t="shared" si="35"/>
        <v>1-0,0272727272727273i</v>
      </c>
      <c r="X12" s="60">
        <f t="shared" si="4"/>
        <v>1.00037183169704</v>
      </c>
      <c r="Y12" s="60">
        <f t="shared" si="5"/>
        <v>-0.0272659684555945</v>
      </c>
      <c r="Z12" s="61" t="str">
        <f t="shared" si="36"/>
        <v>0,999999316436609+0,00564935064935066i</v>
      </c>
      <c r="AA12" s="60">
        <f t="shared" si="6"/>
        <v>1.00001527390158</v>
      </c>
      <c r="AB12" s="60">
        <f t="shared" si="7"/>
        <v>0.00564929441208836</v>
      </c>
      <c r="AC12" s="62" t="str">
        <f t="shared" si="8"/>
        <v>1,25210611435007-14,6305130309182i</v>
      </c>
      <c r="AD12" s="63">
        <f t="shared" si="9"/>
        <v>23.336883997272</v>
      </c>
      <c r="AE12" s="64">
        <f t="shared" si="10"/>
        <v>-85.108441296757</v>
      </c>
      <c r="AF12" s="32" t="str">
        <f t="shared" si="37"/>
        <v>748,315388573934</v>
      </c>
      <c r="AG12" s="32" t="str">
        <f t="shared" si="11"/>
        <v>1+9,05050505050507i</v>
      </c>
      <c r="AH12" s="32">
        <f t="shared" si="38"/>
        <v>9.10558299447201</v>
      </c>
      <c r="AI12" s="32">
        <f t="shared" si="39"/>
        <v>1.4607516254513</v>
      </c>
      <c r="AJ12" s="32" t="str">
        <f t="shared" si="12"/>
        <v>1+0,028509090909091i</v>
      </c>
      <c r="AK12" s="32">
        <f t="shared" si="40"/>
        <v>1.00040630159174</v>
      </c>
      <c r="AL12" s="32">
        <f t="shared" si="41"/>
        <v>0.0285013709120361</v>
      </c>
      <c r="AM12" s="32" t="str">
        <f t="shared" si="13"/>
        <v>1-0,00485929530749863i</v>
      </c>
      <c r="AN12" s="32">
        <f t="shared" si="42"/>
        <v>1.00001180630575</v>
      </c>
      <c r="AO12" s="32">
        <f t="shared" si="43"/>
        <v>-0.00485925706093063</v>
      </c>
      <c r="AP12" s="30" t="str">
        <f t="shared" si="44"/>
        <v>10,9585385692008-81,4828026814064i</v>
      </c>
      <c r="AQ12" s="32">
        <f t="shared" si="45"/>
        <v>38.2991693035591</v>
      </c>
      <c r="AR12" s="31">
        <f t="shared" si="46"/>
        <v>-82.3403097127979</v>
      </c>
      <c r="AS12" s="61" t="str">
        <f t="shared" si="14"/>
        <v>-0,0000504684572142411</v>
      </c>
      <c r="AT12" s="61" t="str">
        <f t="shared" si="15"/>
        <v>0,000408545454545455i</v>
      </c>
      <c r="AU12" s="61">
        <f t="shared" si="16"/>
        <v>0.000408545454545455</v>
      </c>
      <c r="AV12" s="61">
        <f t="shared" si="17"/>
        <v>1.5707963267949</v>
      </c>
      <c r="AW12" s="61" t="str">
        <f t="shared" si="18"/>
        <v>1+0,0209167779261237i</v>
      </c>
      <c r="AX12" s="61">
        <f t="shared" si="19"/>
        <v>1.00021873187759</v>
      </c>
      <c r="AY12" s="61">
        <f t="shared" si="20"/>
        <v>0.0209137282823189</v>
      </c>
      <c r="AZ12" s="61" t="str">
        <f t="shared" si="21"/>
        <v>1+i</v>
      </c>
      <c r="BA12" s="61">
        <f t="shared" si="22"/>
        <v>1.4142135623731</v>
      </c>
      <c r="BB12" s="61">
        <f t="shared" si="23"/>
        <v>0.785398163397448</v>
      </c>
      <c r="BC12" s="57" t="str">
        <f t="shared" si="24"/>
        <v>-0,120895263734869+0,126060788639904i</v>
      </c>
      <c r="BD12" s="61">
        <f t="shared" si="25"/>
        <v>-15.1560067979493</v>
      </c>
      <c r="BE12" s="64">
        <f t="shared" si="26"/>
        <v>133.80173163554</v>
      </c>
      <c r="BF12" s="57" t="str">
        <f t="shared" si="27"/>
        <v>1,69296031196555+1,92660121568511i</v>
      </c>
      <c r="BG12" s="63">
        <f t="shared" si="28"/>
        <v>8.18087719932276</v>
      </c>
      <c r="BH12" s="64">
        <f t="shared" si="29"/>
        <v>48.6932903387827</v>
      </c>
      <c r="BI12" s="23" t="str">
        <f t="shared" si="47"/>
        <v>8,94695095613551+11,2323269343992i</v>
      </c>
      <c r="BJ12" s="63">
        <f t="shared" si="30"/>
        <v>23.1431625056099</v>
      </c>
      <c r="BK12" s="64">
        <f t="shared" si="31"/>
        <v>51.4614219227419</v>
      </c>
      <c r="BL12">
        <f t="shared" si="48"/>
        <v>8.18087719932276</v>
      </c>
      <c r="BM12">
        <f t="shared" si="49"/>
        <v>48.6932903387827</v>
      </c>
      <c r="BO12" t="s">
        <v>461</v>
      </c>
      <c r="BP12">
        <f>SUM(BO19:BO559)/1000</f>
        <v>0.575439937337157</v>
      </c>
    </row>
    <row r="13" customFormat="1" ht="15.75" spans="1:68">
      <c r="A13" t="s">
        <v>110</v>
      </c>
      <c r="B13" s="15">
        <f>Fsw</f>
        <v>700000</v>
      </c>
      <c r="C13" t="s">
        <v>111</v>
      </c>
      <c r="E13" t="s">
        <v>112</v>
      </c>
      <c r="N13" s="69" t="s">
        <v>448</v>
      </c>
      <c r="O13" s="76">
        <f>wp1_ea/(2*PI())</f>
        <v>13834.4741635392</v>
      </c>
      <c r="P13" s="71" t="str">
        <f t="shared" si="32"/>
        <v>163,636363636364</v>
      </c>
      <c r="Q13" s="72" t="str">
        <f t="shared" si="33"/>
        <v>1+531,030068577457i</v>
      </c>
      <c r="R13" s="72">
        <f t="shared" si="0"/>
        <v>531.03101014289</v>
      </c>
      <c r="S13" s="72">
        <f t="shared" si="1"/>
        <v>1.56891319648437</v>
      </c>
      <c r="T13" s="72" t="str">
        <f t="shared" si="34"/>
        <v>1+1,36297717601547i</v>
      </c>
      <c r="U13" s="72">
        <f t="shared" si="2"/>
        <v>1.69047531254943</v>
      </c>
      <c r="V13" s="72">
        <f t="shared" si="3"/>
        <v>0.937816894157202</v>
      </c>
      <c r="W13" s="73" t="str">
        <f t="shared" si="35"/>
        <v>1-1,30386847195358i</v>
      </c>
      <c r="X13" s="72">
        <f t="shared" si="4"/>
        <v>1.64318988317071</v>
      </c>
      <c r="Y13" s="72">
        <f t="shared" si="5"/>
        <v>-0.916536109700082</v>
      </c>
      <c r="Z13" s="73" t="str">
        <f t="shared" si="36"/>
        <v>0,998437610813211+0,270087040618955i</v>
      </c>
      <c r="AA13" s="72">
        <f t="shared" si="6"/>
        <v>1.03432329191443</v>
      </c>
      <c r="AB13" s="72">
        <f t="shared" si="7"/>
        <v>0.264186824319114</v>
      </c>
      <c r="AC13" s="74" t="str">
        <f t="shared" si="8"/>
        <v>-0,197535669024464-0,803640158653454i</v>
      </c>
      <c r="AD13" s="75">
        <f t="shared" si="9"/>
        <v>-1.64399564973638</v>
      </c>
      <c r="AE13" s="76">
        <f t="shared" si="10"/>
        <v>-103.809595483262</v>
      </c>
      <c r="AF13" s="32" t="str">
        <f t="shared" si="37"/>
        <v>748,315388573934</v>
      </c>
      <c r="AG13" s="32" t="str">
        <f t="shared" si="11"/>
        <v>1+432,691166989039i</v>
      </c>
      <c r="AH13" s="32">
        <f t="shared" si="38"/>
        <v>432.692322546098</v>
      </c>
      <c r="AI13" s="32">
        <f t="shared" si="39"/>
        <v>1.56848521370575</v>
      </c>
      <c r="AJ13" s="32" t="str">
        <f t="shared" si="12"/>
        <v>1+1,36297717601547i</v>
      </c>
      <c r="AK13" s="32">
        <f t="shared" si="40"/>
        <v>1.69047531254943</v>
      </c>
      <c r="AL13" s="32">
        <f t="shared" si="41"/>
        <v>0.937816894157202</v>
      </c>
      <c r="AM13" s="32" t="str">
        <f t="shared" si="13"/>
        <v>1-0,232315671403179i</v>
      </c>
      <c r="AN13" s="32">
        <f t="shared" si="42"/>
        <v>1.02663068879686</v>
      </c>
      <c r="AO13" s="32">
        <f t="shared" si="43"/>
        <v>-0.228266599501272</v>
      </c>
      <c r="AP13" s="30" t="str">
        <f t="shared" si="44"/>
        <v>1,96066847236888-2,27252621837324i</v>
      </c>
      <c r="AQ13" s="32">
        <f t="shared" si="45"/>
        <v>9.54657124060777</v>
      </c>
      <c r="AR13" s="31">
        <f t="shared" si="46"/>
        <v>-49.213345737966</v>
      </c>
      <c r="AS13" s="73" t="str">
        <f t="shared" si="14"/>
        <v>-0,0000504684572142411</v>
      </c>
      <c r="AT13" s="73" t="str">
        <f t="shared" si="15"/>
        <v>0,0195319497098646i</v>
      </c>
      <c r="AU13" s="73">
        <f t="shared" si="16"/>
        <v>0.0195319497098646</v>
      </c>
      <c r="AV13" s="73">
        <f t="shared" si="17"/>
        <v>1.5707963267949</v>
      </c>
      <c r="AW13" s="73" t="str">
        <f t="shared" si="18"/>
        <v>1+i</v>
      </c>
      <c r="AX13" s="73">
        <f t="shared" si="19"/>
        <v>1.4142135623731</v>
      </c>
      <c r="AY13" s="73">
        <f t="shared" si="20"/>
        <v>0.785398163397448</v>
      </c>
      <c r="AZ13" s="73" t="str">
        <f t="shared" si="21"/>
        <v>1+47,8085106382978i</v>
      </c>
      <c r="BA13" s="73">
        <f t="shared" si="22"/>
        <v>47.8189678835944</v>
      </c>
      <c r="BB13" s="73">
        <f t="shared" si="23"/>
        <v>1.54988259851258</v>
      </c>
      <c r="BC13" s="69" t="str">
        <f t="shared" si="24"/>
        <v>-0,0604740784074969+0,0630579708485444i</v>
      </c>
      <c r="BD13" s="73">
        <f t="shared" si="25"/>
        <v>-21.1728073648347</v>
      </c>
      <c r="BE13" s="76">
        <f t="shared" si="26"/>
        <v>133.80173163554</v>
      </c>
      <c r="BF13" s="69" t="str">
        <f t="shared" si="27"/>
        <v>0,0626217052339519+0,0361431995069299i</v>
      </c>
      <c r="BG13" s="75">
        <f t="shared" si="28"/>
        <v>-22.8168030145711</v>
      </c>
      <c r="BH13" s="76">
        <f t="shared" si="29"/>
        <v>29.9921361522774</v>
      </c>
      <c r="BI13" s="23" t="str">
        <f t="shared" si="47"/>
        <v>0,0247312731015898+0,261064704087293i</v>
      </c>
      <c r="BJ13" s="75">
        <f t="shared" si="30"/>
        <v>-11.626236124227</v>
      </c>
      <c r="BK13" s="76">
        <f t="shared" si="31"/>
        <v>84.5883858975738</v>
      </c>
      <c r="BL13">
        <f t="shared" si="48"/>
        <v>-22.8168030145711</v>
      </c>
      <c r="BM13">
        <f t="shared" si="49"/>
        <v>29.9921361522774</v>
      </c>
    </row>
    <row r="14" customFormat="1" spans="1:68">
      <c r="B14" s="13"/>
      <c r="O14" s="18"/>
      <c r="BO14" t="s">
        <v>462</v>
      </c>
      <c r="BP14" s="78">
        <f>SUM(BP19:BP559)</f>
        <v>63.0106313059578</v>
      </c>
    </row>
    <row r="15" ht="15.75" spans="1:68">
      <c r="A15" s="79" t="s">
        <v>463</v>
      </c>
      <c r="O15" s="18" t="s">
        <v>464</v>
      </c>
      <c r="P15">
        <f>B16</f>
        <v>4</v>
      </c>
      <c r="Q15" t="s">
        <v>7</v>
      </c>
      <c r="BO15" s="80"/>
      <c r="BP15" s="80"/>
    </row>
    <row r="16" ht="15.75" spans="1:68">
      <c r="A16" t="s">
        <v>431</v>
      </c>
      <c r="B16">
        <v>4</v>
      </c>
      <c r="C16" t="s">
        <v>7</v>
      </c>
      <c r="E16" t="s">
        <v>465</v>
      </c>
      <c r="O16" s="81"/>
      <c r="P16" s="25" t="s">
        <v>466</v>
      </c>
      <c r="Q16" s="25"/>
      <c r="R16" s="25"/>
      <c r="S16" s="25"/>
      <c r="T16" s="25"/>
      <c r="U16" s="25"/>
      <c r="V16" s="25"/>
      <c r="W16" s="25"/>
      <c r="X16" s="25"/>
      <c r="Y16" s="25"/>
      <c r="Z16" s="25"/>
      <c r="AA16" s="25"/>
      <c r="AB16" s="25"/>
      <c r="AC16" s="25"/>
      <c r="AD16" s="25"/>
      <c r="AE16" s="26"/>
      <c r="AF16" s="27" t="s">
        <v>467</v>
      </c>
      <c r="AG16" s="25"/>
      <c r="AH16" s="25"/>
      <c r="AI16" s="25"/>
      <c r="AJ16" s="25"/>
      <c r="AK16" s="25"/>
      <c r="AL16" s="25"/>
      <c r="AM16" s="25"/>
      <c r="AN16" s="25"/>
      <c r="AO16" s="25"/>
      <c r="AP16" s="25"/>
      <c r="AQ16" s="25"/>
      <c r="AR16" s="26"/>
      <c r="AS16" s="27" t="s">
        <v>438</v>
      </c>
      <c r="AT16" s="25"/>
      <c r="AU16" s="25"/>
      <c r="AV16" s="25"/>
      <c r="AW16" s="25"/>
      <c r="AX16" s="25"/>
      <c r="AY16" s="25"/>
      <c r="AZ16" s="25"/>
      <c r="BA16" s="25"/>
      <c r="BB16" s="25"/>
      <c r="BC16" s="25"/>
      <c r="BD16" s="25"/>
      <c r="BE16" s="26"/>
      <c r="BF16" s="27" t="s">
        <v>439</v>
      </c>
      <c r="BG16" s="25"/>
      <c r="BH16" s="26"/>
      <c r="BI16" s="27" t="s">
        <v>440</v>
      </c>
      <c r="BJ16" s="25"/>
      <c r="BK16" s="26"/>
      <c r="BL16" s="27" t="s">
        <v>441</v>
      </c>
      <c r="BM16" s="26"/>
      <c r="BO16" s="80"/>
      <c r="BP16" s="80"/>
    </row>
    <row r="17" spans="1:68">
      <c r="A17" t="s">
        <v>468</v>
      </c>
      <c r="B17">
        <f>IOUT</f>
        <v>1</v>
      </c>
      <c r="C17" t="s">
        <v>12</v>
      </c>
      <c r="E17" t="s">
        <v>469</v>
      </c>
      <c r="O17" s="82"/>
      <c r="P17" s="32"/>
      <c r="Q17" s="33" t="s">
        <v>442</v>
      </c>
      <c r="R17" s="33"/>
      <c r="S17" s="33"/>
      <c r="T17" s="34" t="s">
        <v>443</v>
      </c>
      <c r="U17" s="34"/>
      <c r="V17" s="34"/>
      <c r="W17" s="34" t="s">
        <v>446</v>
      </c>
      <c r="X17" s="34"/>
      <c r="Y17" s="34"/>
      <c r="Z17" s="34" t="s">
        <v>444</v>
      </c>
      <c r="AA17" s="34"/>
      <c r="AB17" s="34"/>
      <c r="AC17" s="35" t="s">
        <v>445</v>
      </c>
      <c r="AD17" s="34"/>
      <c r="AE17" s="36"/>
      <c r="AF17" s="34"/>
      <c r="AG17" s="33" t="s">
        <v>442</v>
      </c>
      <c r="AH17" s="33"/>
      <c r="AI17" s="33"/>
      <c r="AJ17" s="37" t="s">
        <v>443</v>
      </c>
      <c r="AK17" s="37"/>
      <c r="AL17" s="37"/>
      <c r="AM17" s="34" t="s">
        <v>446</v>
      </c>
      <c r="AN17" s="34"/>
      <c r="AO17" s="34"/>
      <c r="AP17" s="38" t="s">
        <v>445</v>
      </c>
      <c r="AQ17" s="37"/>
      <c r="AR17" s="39"/>
      <c r="AS17" s="32"/>
      <c r="AT17" s="34" t="s">
        <v>447</v>
      </c>
      <c r="AU17" s="34"/>
      <c r="AV17" s="34"/>
      <c r="AW17" s="34" t="s">
        <v>448</v>
      </c>
      <c r="AX17" s="34"/>
      <c r="AY17" s="34"/>
      <c r="AZ17" s="34" t="s">
        <v>449</v>
      </c>
      <c r="BA17" s="34"/>
      <c r="BB17" s="34"/>
      <c r="BC17" s="35" t="s">
        <v>445</v>
      </c>
      <c r="BD17" s="34"/>
      <c r="BE17" s="36"/>
      <c r="BF17" s="35" t="s">
        <v>445</v>
      </c>
      <c r="BG17" s="34"/>
      <c r="BH17" s="36"/>
      <c r="BI17" s="35" t="s">
        <v>445</v>
      </c>
      <c r="BJ17" s="34"/>
      <c r="BK17" s="36"/>
      <c r="BL17" s="32"/>
      <c r="BM17" s="31"/>
      <c r="BO17" s="80"/>
      <c r="BP17" s="80"/>
    </row>
    <row r="18" ht="15.75" spans="1:68">
      <c r="A18" t="s">
        <v>470</v>
      </c>
      <c r="B18">
        <f>VOUT/(VOUT+VIN_var)</f>
        <v>0.833333333333333</v>
      </c>
      <c r="N18" s="7"/>
      <c r="O18" s="83" t="s">
        <v>471</v>
      </c>
      <c r="P18" s="72" t="s">
        <v>450</v>
      </c>
      <c r="Q18" s="73" t="s">
        <v>451</v>
      </c>
      <c r="R18" s="72" t="s">
        <v>452</v>
      </c>
      <c r="S18" s="72" t="s">
        <v>453</v>
      </c>
      <c r="T18" s="72" t="s">
        <v>451</v>
      </c>
      <c r="U18" s="72" t="s">
        <v>452</v>
      </c>
      <c r="V18" s="72" t="s">
        <v>453</v>
      </c>
      <c r="W18" s="49" t="s">
        <v>451</v>
      </c>
      <c r="X18" s="72" t="s">
        <v>452</v>
      </c>
      <c r="Y18" s="72" t="s">
        <v>453</v>
      </c>
      <c r="Z18" s="49" t="s">
        <v>451</v>
      </c>
      <c r="AA18" s="49" t="s">
        <v>452</v>
      </c>
      <c r="AB18" s="49" t="s">
        <v>453</v>
      </c>
      <c r="AC18" s="48" t="s">
        <v>454</v>
      </c>
      <c r="AD18" s="49" t="s">
        <v>452</v>
      </c>
      <c r="AE18" s="50" t="s">
        <v>453</v>
      </c>
      <c r="AF18" s="84" t="s">
        <v>450</v>
      </c>
      <c r="AG18" s="47" t="s">
        <v>451</v>
      </c>
      <c r="AH18" s="47" t="s">
        <v>455</v>
      </c>
      <c r="AI18" s="47" t="s">
        <v>453</v>
      </c>
      <c r="AJ18" s="47" t="s">
        <v>451</v>
      </c>
      <c r="AK18" s="47" t="s">
        <v>455</v>
      </c>
      <c r="AL18" s="47" t="s">
        <v>453</v>
      </c>
      <c r="AM18" s="47" t="s">
        <v>451</v>
      </c>
      <c r="AN18" s="47" t="s">
        <v>455</v>
      </c>
      <c r="AO18" s="47" t="s">
        <v>453</v>
      </c>
      <c r="AP18" s="48" t="s">
        <v>454</v>
      </c>
      <c r="AQ18" s="49" t="s">
        <v>452</v>
      </c>
      <c r="AR18" s="50" t="s">
        <v>453</v>
      </c>
      <c r="AS18" s="72" t="s">
        <v>456</v>
      </c>
      <c r="AT18" s="49" t="s">
        <v>451</v>
      </c>
      <c r="AU18" s="49" t="s">
        <v>455</v>
      </c>
      <c r="AV18" s="49" t="s">
        <v>453</v>
      </c>
      <c r="AW18" s="49" t="s">
        <v>451</v>
      </c>
      <c r="AX18" s="49" t="s">
        <v>455</v>
      </c>
      <c r="AY18" s="49" t="s">
        <v>453</v>
      </c>
      <c r="AZ18" s="49" t="s">
        <v>451</v>
      </c>
      <c r="BA18" s="49" t="s">
        <v>455</v>
      </c>
      <c r="BB18" s="49" t="s">
        <v>453</v>
      </c>
      <c r="BC18" s="48" t="s">
        <v>454</v>
      </c>
      <c r="BD18" s="49" t="s">
        <v>452</v>
      </c>
      <c r="BE18" s="50" t="s">
        <v>453</v>
      </c>
      <c r="BF18" s="48" t="s">
        <v>454</v>
      </c>
      <c r="BG18" s="49" t="s">
        <v>452</v>
      </c>
      <c r="BH18" s="50" t="s">
        <v>453</v>
      </c>
      <c r="BI18" s="48" t="s">
        <v>454</v>
      </c>
      <c r="BJ18" s="49" t="s">
        <v>452</v>
      </c>
      <c r="BK18" s="50" t="s">
        <v>453</v>
      </c>
      <c r="BL18" s="43" t="s">
        <v>472</v>
      </c>
      <c r="BM18" s="45" t="s">
        <v>473</v>
      </c>
      <c r="BO18" s="80" t="s">
        <v>474</v>
      </c>
      <c r="BP18" s="80" t="s">
        <v>475</v>
      </c>
    </row>
    <row r="19" spans="1:68">
      <c r="A19" t="s">
        <v>115</v>
      </c>
      <c r="B19" s="85">
        <f>VOUT</f>
        <v>20</v>
      </c>
      <c r="C19" t="s">
        <v>7</v>
      </c>
      <c r="E19" t="s">
        <v>476</v>
      </c>
      <c r="N19" s="7">
        <v>1</v>
      </c>
      <c r="O19" s="18">
        <f>10^(1+(N19/100))</f>
        <v>10.2329299228075</v>
      </c>
      <c r="P19" s="86" t="str">
        <f t="shared" ref="P19:P82" si="50">COMPLEX(Adc,0)</f>
        <v>163,636363636364</v>
      </c>
      <c r="Q19" s="4" t="str">
        <f t="shared" ref="Q19:Q82" si="51">IMSUM(COMPLEX(1,0),IMDIV(COMPLEX(0,2*PI()*O19),COMPLEX(wp_lf,0)))</f>
        <v>1+0,3927864127267i</v>
      </c>
      <c r="R19" s="4">
        <f>IMABS(Q19)</f>
        <v>1.07437477912631</v>
      </c>
      <c r="S19" s="4">
        <f>IMARGUMENT(Q19)</f>
        <v>0.3742723411379</v>
      </c>
      <c r="T19" s="4" t="str">
        <f t="shared" ref="T19:T82" si="52">IMSUM(COMPLEX(1,0),IMDIV(COMPLEX(0,2*PI()*O19),COMPLEX(wz_esr,0)))</f>
        <v>1+0,0010081517926652i</v>
      </c>
      <c r="U19" s="4">
        <f>IMABS(T19)</f>
        <v>1.00000050818489</v>
      </c>
      <c r="V19" s="4">
        <f>IMARGUMENT(T19)</f>
        <v>0.00100815145111365</v>
      </c>
      <c r="W19" t="str">
        <f t="shared" ref="W19:W82" si="53">IMSUB(COMPLEX(1,0),IMDIV(COMPLEX(0,2*PI()*O19),COMPLEX(wz_rhp,0)))</f>
        <v>1-0,000964430924105737i</v>
      </c>
      <c r="X19" s="4">
        <f>IMABS(W19)</f>
        <v>1.0000004650634</v>
      </c>
      <c r="Y19" s="4">
        <f>IMARGUMENT(W19)</f>
        <v>-0.000964430625091487</v>
      </c>
      <c r="Z19" t="str">
        <f t="shared" ref="Z19:Z82" si="54">IMSUM(COMPLEX(1,0),IMDIV(COMPLEX(0,2*PI()*O19),COMPLEX(Q*(wsl/2),0)),IMDIV(IMPOWER(COMPLEX(0,2*PI()*O19),2),IMPOWER(COMPLEX(wsl/2,0),2)))</f>
        <v>0,999999999145201+0,000199774977136188i</v>
      </c>
      <c r="AA19" s="4">
        <f>IMABS(Z19)</f>
        <v>1.00000001910022</v>
      </c>
      <c r="AB19" s="4">
        <f>IMARGUMENT(Z19)</f>
        <v>0.00019977497464928</v>
      </c>
      <c r="AC19" s="67" t="str">
        <f>(IMDIV(IMPRODUCT(P19,T19,W19),IMPRODUCT(Q19,Z19)))</f>
        <v>141,756178943164-55,7054371666031i</v>
      </c>
      <c r="AD19" s="68">
        <f>20*LOG(IMABS(AC19))</f>
        <v>43.6544885915769</v>
      </c>
      <c r="AE19" s="31">
        <f>(180/PI())*IMARGUMENT(AC19)</f>
        <v>-21.4531667797742</v>
      </c>
      <c r="AF19" s="32" t="str">
        <f>COMPLEX($B$68,0)</f>
        <v>748,315388573934</v>
      </c>
      <c r="AG19" s="32" t="str">
        <f t="shared" ref="AG19:AG82" si="55">IMSUM(COMPLEX(1,0),IMDIV(COMPLEX(0,2*PI()*O19),COMPLEX(wp_lf_DCM,0)))</f>
        <v>1+0,320048188147681i</v>
      </c>
      <c r="AH19" s="32">
        <f>IMABS(AG19)</f>
        <v>1.04996706745336</v>
      </c>
      <c r="AI19" s="32">
        <f>IMARGUMENT(AG19)</f>
        <v>0.309746655966269</v>
      </c>
      <c r="AJ19" s="32" t="str">
        <f t="shared" ref="AJ19:AJ82" si="56">IMSUM(COMPLEX(1,0),IMDIV(COMPLEX(0,2*PI()*O19),COMPLEX(wz1_dcm,0)))</f>
        <v>1+0,0010081517926652i</v>
      </c>
      <c r="AK19" s="32">
        <f>IMABS(AJ19)</f>
        <v>1.00000050818489</v>
      </c>
      <c r="AL19" s="32">
        <f>IMARGUMENT(AJ19)</f>
        <v>0.00100815145111365</v>
      </c>
      <c r="AM19" s="32" t="str">
        <f t="shared" ref="AM19:AM82" si="57">IMSUB(COMPLEX(1,0),IMDIV(COMPLEX(0,2*PI()*O19),COMPLEX(wz2_dcm,0)))</f>
        <v>1-0,000171836671010164i</v>
      </c>
      <c r="AN19" s="32">
        <f>IMABS(AM19)</f>
        <v>1.00000001476392</v>
      </c>
      <c r="AO19" s="32">
        <f>IMARGUMENT(AM19)</f>
        <v>-0.000171836669318842</v>
      </c>
      <c r="AP19" s="30" t="str">
        <f>(IMDIV(IMPRODUCT(AF19,AJ19,AM19),IMPRODUCT(AG19)))</f>
        <v>678,968497744175-216,676810037144i</v>
      </c>
      <c r="AQ19" s="32">
        <f>20*LOG(IMABS(AP19))</f>
        <v>57.0581845177005</v>
      </c>
      <c r="AR19" s="31">
        <f>(180/PI())*IMARGUMENT(AP19)</f>
        <v>-17.6992587978166</v>
      </c>
      <c r="AS19" t="str">
        <f t="shared" ref="AS19:AS82" si="58">COMPLEX(Adc_ea,0)</f>
        <v>-0,0000504684572142411</v>
      </c>
      <c r="AT19" t="str">
        <f t="shared" ref="AT19:AT82" si="59">COMPLEX(0,2*PI()*O19*wp0_ea)</f>
        <v>0,0000144471752431039i</v>
      </c>
      <c r="AU19">
        <f>IMABS(AT19)</f>
        <v>1.44471752431039e-5</v>
      </c>
      <c r="AV19">
        <f>IMARGUMENT(AT19)</f>
        <v>1.5707963267949</v>
      </c>
      <c r="AW19" t="str">
        <f t="shared" ref="AW19:AW82" si="60">IMSUM(COMPLEX(1,0),IMDIV(COMPLEX(0,2*PI()*O19),COMPLEX(wp1_ea,0)))</f>
        <v>1+0,000739668873702219i</v>
      </c>
      <c r="AX19">
        <f>IMABS(AW19)</f>
        <v>1.00000027355498</v>
      </c>
      <c r="AY19">
        <f>IMARGUMENT(AW19)</f>
        <v>0.00073966873880884</v>
      </c>
      <c r="AZ19" t="str">
        <f t="shared" ref="AZ19:AZ82" si="61">IMSUM(COMPLEX(1,0),IMDIV(COMPLEX(0,2*PI()*O19),COMPLEX(wz_ea,0)))</f>
        <v>1+0,0353624672172103i</v>
      </c>
      <c r="BA19">
        <f>IMABS(AZ19)</f>
        <v>1.00062505669591</v>
      </c>
      <c r="BB19">
        <f>IMARGUMENT(AZ19)</f>
        <v>0.0353477379637583</v>
      </c>
      <c r="BC19" s="30" t="str">
        <f>IMPRODUCT(AS19,IMDIV(AZ19,IMPRODUCT(AT19,AW19)))</f>
        <v>-0,120948090643079+3,49339914768797i</v>
      </c>
      <c r="BD19" s="32">
        <f>20*LOG(IMABS(BC19))</f>
        <v>10.8701668629071</v>
      </c>
      <c r="BE19" s="31">
        <f>(180/PI())*IMARGUMENT(BC19)</f>
        <v>91.9828963036862</v>
      </c>
      <c r="BF19" s="30" t="str">
        <f>IMPRODUCT(AC19,BC19)</f>
        <v>177,456187539363+501,948380963291i</v>
      </c>
      <c r="BG19" s="68">
        <f>20*LOG(IMABS(BF19))</f>
        <v>54.524655454484</v>
      </c>
      <c r="BH19" s="31">
        <f>(180/PI())*IMARGUMENT(BF19)</f>
        <v>70.529729523912</v>
      </c>
      <c r="BI19" s="30" t="str">
        <f>IMPRODUCT(AP19,BC19)</f>
        <v>674,818640098549+2398,11461778711i</v>
      </c>
      <c r="BJ19" s="68">
        <f>20*LOG(IMABS(BI19))</f>
        <v>67.9283513806076</v>
      </c>
      <c r="BK19" s="31">
        <f>(180/PI())*IMARGUMENT(BI19)</f>
        <v>74.2836375058696</v>
      </c>
      <c r="BL19" s="32">
        <f>IF($B$31=0,BJ19,BG19)</f>
        <v>54.524655454484</v>
      </c>
      <c r="BM19" s="31">
        <f>IF($B$31=0,BK19,BH19)</f>
        <v>70.529729523912</v>
      </c>
      <c r="BO19">
        <f>SUM((BL20&lt;0)*(BL19&gt;0))*O19</f>
        <v>0</v>
      </c>
      <c r="BP19">
        <f>IF(BO19&gt;0,BM19,0)</f>
        <v>0</v>
      </c>
    </row>
    <row r="20" spans="1:68">
      <c r="A20" t="s">
        <v>117</v>
      </c>
      <c r="B20" s="85">
        <f>IOUT</f>
        <v>1</v>
      </c>
      <c r="C20" t="s">
        <v>12</v>
      </c>
      <c r="E20" t="s">
        <v>118</v>
      </c>
      <c r="N20" s="7">
        <v>2</v>
      </c>
      <c r="O20" s="18">
        <f t="shared" ref="O20:O83" si="62">10^(1+(N20/100))</f>
        <v>10.471285480509</v>
      </c>
      <c r="P20" s="86" t="str">
        <f t="shared" si="50"/>
        <v>163,636363636364</v>
      </c>
      <c r="Q20" s="4" t="str">
        <f t="shared" si="51"/>
        <v>1+0,40193558360633i</v>
      </c>
      <c r="R20" s="4">
        <f t="shared" ref="R20:R83" si="63">IMABS(Q20)</f>
        <v>1.07775331749383</v>
      </c>
      <c r="S20" s="4">
        <f t="shared" ref="S20:S83" si="64">IMARGUMENT(Q20)</f>
        <v>0.382173869167738</v>
      </c>
      <c r="T20" s="4" t="str">
        <f t="shared" si="52"/>
        <v>1+0,00103163466458958i</v>
      </c>
      <c r="U20" s="4">
        <f t="shared" ref="U20:U83" si="65">IMABS(T20)</f>
        <v>1.0000005321349</v>
      </c>
      <c r="V20" s="4">
        <f t="shared" ref="V20:V83" si="66">IMARGUMENT(T20)</f>
        <v>0.00103163429861051</v>
      </c>
      <c r="W20" t="str">
        <f t="shared" si="53"/>
        <v>1-0,000986895406176258i</v>
      </c>
      <c r="X20" s="4">
        <f t="shared" ref="X20:X83" si="67">IMABS(W20)</f>
        <v>1.00000048698115</v>
      </c>
      <c r="Y20" s="4">
        <f t="shared" ref="Y20:Y83" si="68">IMARGUMENT(W20)</f>
        <v>-0.000986895085776726</v>
      </c>
      <c r="Z20" t="str">
        <f t="shared" si="54"/>
        <v>0,999999999104916+0,00020442833413651i</v>
      </c>
      <c r="AA20" s="4">
        <f t="shared" ref="AA20:AA83" si="69">IMABS(Z20)</f>
        <v>1.00000002000039</v>
      </c>
      <c r="AB20" s="4">
        <f t="shared" ref="AB20:AB83" si="70">IMARGUMENT(Z20)</f>
        <v>0.00020442833147174</v>
      </c>
      <c r="AC20" s="67" t="str">
        <f t="shared" ref="AC20:AC83" si="71">(IMDIV(IMPRODUCT(P20,T20,W20),IMPRODUCT(Q20,Z20)))</f>
        <v>140,868417442299-56,6461605490537i</v>
      </c>
      <c r="AD20" s="68">
        <f t="shared" ref="AD20:AD83" si="72">20*LOG(IMABS(AC20))</f>
        <v>43.6272177100168</v>
      </c>
      <c r="AE20" s="31">
        <f t="shared" ref="AE20:AE83" si="73">(180/PI())*IMARGUMENT(AC20)</f>
        <v>-21.9060992560284</v>
      </c>
      <c r="AF20" s="32" t="str">
        <f t="shared" ref="AF20:AF83" si="74">COMPLEX($B$68,0)</f>
        <v>748,315388573934</v>
      </c>
      <c r="AG20" s="32" t="str">
        <f t="shared" si="55"/>
        <v>1+0,327503068123676i</v>
      </c>
      <c r="AH20" s="32">
        <f t="shared" ref="AH20:AH83" si="75">IMABS(AG20)</f>
        <v>1.0522633984086</v>
      </c>
      <c r="AI20" s="32">
        <f t="shared" ref="AI20:AI83" si="76">IMARGUMENT(AG20)</f>
        <v>0.316494170200192</v>
      </c>
      <c r="AJ20" s="32" t="str">
        <f t="shared" si="56"/>
        <v>1+0,00103163466458958i</v>
      </c>
      <c r="AK20" s="32">
        <f t="shared" ref="AK20:AK83" si="77">IMABS(AJ20)</f>
        <v>1.0000005321349</v>
      </c>
      <c r="AL20" s="32">
        <f t="shared" ref="AL20:AL83" si="78">IMARGUMENT(AJ20)</f>
        <v>0.00103163429861051</v>
      </c>
      <c r="AM20" s="32" t="str">
        <f t="shared" si="57"/>
        <v>1-0,000175839261261555i</v>
      </c>
      <c r="AN20" s="32">
        <f t="shared" ref="AN20:AN83" si="79">IMABS(AM20)</f>
        <v>1.00000001545972</v>
      </c>
      <c r="AO20" s="32">
        <f t="shared" ref="AO20:AO83" si="80">IMARGUMENT(AM20)</f>
        <v>-0.000175839259449271</v>
      </c>
      <c r="AP20" s="30" t="str">
        <f t="shared" ref="AP20:AP83" si="81">(IMDIV(IMPRODUCT(AF20,AJ20,AM20),IMPRODUCT(AG20)))</f>
        <v>676,016866317426-220,757192952529i</v>
      </c>
      <c r="AQ20" s="32">
        <f t="shared" ref="AQ20:AQ83" si="82">20*LOG(IMABS(AP20))</f>
        <v>57.039208995755</v>
      </c>
      <c r="AR20" s="31">
        <f t="shared" ref="AR20:AR83" si="83">(180/PI())*IMARGUMENT(AP20)</f>
        <v>-18.084746749094</v>
      </c>
      <c r="AS20" t="str">
        <f t="shared" si="58"/>
        <v>-0,0000504684572142411</v>
      </c>
      <c r="AT20" t="str">
        <f t="shared" si="59"/>
        <v>0,0000147836931845203i</v>
      </c>
      <c r="AU20">
        <f t="shared" ref="AU20:AU83" si="84">IMABS(AT20)</f>
        <v>1.47836931845203e-5</v>
      </c>
      <c r="AV20">
        <f t="shared" ref="AV20:AV83" si="85">IMARGUMENT(AT20)</f>
        <v>1.5707963267949</v>
      </c>
      <c r="AW20" t="str">
        <f t="shared" si="60"/>
        <v>1+0,000756897975067682i</v>
      </c>
      <c r="AX20">
        <f t="shared" ref="AX20:AX83" si="86">IMABS(AW20)</f>
        <v>1.00000028644723</v>
      </c>
      <c r="AY20">
        <f t="shared" ref="AY20:AY83" si="87">IMARGUMENT(AW20)</f>
        <v>0.000756897830526825</v>
      </c>
      <c r="AZ20" t="str">
        <f t="shared" si="61"/>
        <v>1+0,0361861648931294i</v>
      </c>
      <c r="BA20">
        <f t="shared" ref="BA20:BA83" si="88">IMABS(AZ20)</f>
        <v>1.00065450507639</v>
      </c>
      <c r="BB20">
        <f t="shared" ref="BB20:BB83" si="89">IMARGUMENT(AZ20)</f>
        <v>0.0361703827711888</v>
      </c>
      <c r="BC20" s="30" t="str">
        <f t="shared" ref="BC20:BC83" si="90">IMPRODUCT(AS20,IMDIV(AZ20,IMPRODUCT(AT20,AW20)))</f>
        <v>-0,120948087524495+3,41388379499374i</v>
      </c>
      <c r="BD20" s="32">
        <f t="shared" ref="BD20:BD83" si="91">20*LOG(IMABS(BC20))</f>
        <v>10.6704223727674</v>
      </c>
      <c r="BE20" s="31">
        <f t="shared" ref="BE20:BE83" si="92">(180/PI())*IMARGUMENT(BC20)</f>
        <v>92.02904322495</v>
      </c>
      <c r="BF20" s="30" t="str">
        <f t="shared" ref="BF20:BF83" si="93">IMPRODUCT(AC20,BC20)</f>
        <v>176,34564386478+487,759652316692i</v>
      </c>
      <c r="BG20" s="68">
        <f t="shared" ref="BG20:BG83" si="94">20*LOG(IMABS(BF20))</f>
        <v>54.2976400827842</v>
      </c>
      <c r="BH20" s="31">
        <f t="shared" ref="BH20:BH83" si="95">(180/PI())*IMARGUMENT(BF20)</f>
        <v>70.1229439689216</v>
      </c>
      <c r="BI20" s="30" t="str">
        <f t="shared" ref="BI20:BI49" si="96">IMPRODUCT(AP20,BC20)</f>
        <v>671,87645653355+2334,54318535839i</v>
      </c>
      <c r="BJ20" s="68">
        <f t="shared" ref="BJ20:BJ83" si="97">20*LOG(IMABS(BI20))</f>
        <v>67.7096313685224</v>
      </c>
      <c r="BK20" s="31">
        <f t="shared" ref="BK20:BK49" si="98">(180/PI())*IMARGUMENT(BI20)</f>
        <v>73.944296475856</v>
      </c>
      <c r="BL20" s="32">
        <f t="shared" ref="BL20:BL83" si="99">IF($B$31=0,BJ20,BG20)</f>
        <v>54.2976400827842</v>
      </c>
      <c r="BM20" s="31">
        <f t="shared" ref="BM20:BM83" si="100">IF($B$31=0,BK20,BH20)</f>
        <v>70.1229439689216</v>
      </c>
      <c r="BO20">
        <f t="shared" ref="BO20:BO83" si="101">SUM((BL21&lt;0)*(BL20&gt;0))*O20</f>
        <v>0</v>
      </c>
      <c r="BP20">
        <f t="shared" ref="BP20:BP83" si="102">IF(BO20&gt;0,BM20,0)</f>
        <v>0</v>
      </c>
    </row>
    <row r="21" customFormat="1" spans="1:68">
      <c r="N21" s="7">
        <v>3</v>
      </c>
      <c r="O21" s="18">
        <f t="shared" si="62"/>
        <v>10.7151930523761</v>
      </c>
      <c r="P21" s="86" t="str">
        <f t="shared" si="50"/>
        <v>163,636363636364</v>
      </c>
      <c r="Q21" s="4" t="str">
        <f t="shared" si="51"/>
        <v>1+0,411297866052634i</v>
      </c>
      <c r="R21" s="4">
        <f t="shared" si="63"/>
        <v>1.08127976704433</v>
      </c>
      <c r="S21" s="4">
        <f t="shared" si="64"/>
        <v>0.390207816235322</v>
      </c>
      <c r="T21" s="4" t="str">
        <f t="shared" si="52"/>
        <v>1+0,00105566452286843i</v>
      </c>
      <c r="U21" s="4">
        <f t="shared" si="65"/>
        <v>1.00000055721364</v>
      </c>
      <c r="V21" s="4">
        <f t="shared" si="66"/>
        <v>0.0010556641307148</v>
      </c>
      <c r="W21" t="str">
        <f t="shared" si="53"/>
        <v>1-0,00100988315325424i</v>
      </c>
      <c r="X21" s="4">
        <f t="shared" si="67"/>
        <v>1.00000050993186</v>
      </c>
      <c r="Y21" s="4">
        <f t="shared" si="68"/>
        <v>-0.00100988280993997</v>
      </c>
      <c r="Z21" t="str">
        <f t="shared" si="54"/>
        <v>0,999999999062732+0,00020919008174552i</v>
      </c>
      <c r="AA21" s="4">
        <f t="shared" si="69"/>
        <v>1.00000002094298</v>
      </c>
      <c r="AB21" s="4">
        <f t="shared" si="70"/>
        <v>0.000209190078890167</v>
      </c>
      <c r="AC21" s="67" t="str">
        <f t="shared" si="71"/>
        <v>139,950651866764-57,5881441082953i</v>
      </c>
      <c r="AD21" s="68">
        <f t="shared" si="72"/>
        <v>43.5988439555288</v>
      </c>
      <c r="AE21" s="31">
        <f t="shared" si="73"/>
        <v>-22.3666236354758</v>
      </c>
      <c r="AF21" s="32" t="str">
        <f t="shared" si="74"/>
        <v>748,315388573934</v>
      </c>
      <c r="AG21" s="32" t="str">
        <f t="shared" si="55"/>
        <v>1+0,335131594561406i</v>
      </c>
      <c r="AH21" s="32">
        <f t="shared" si="75"/>
        <v>1.05466259328435</v>
      </c>
      <c r="AI21" s="32">
        <f t="shared" si="76"/>
        <v>0.323368115451162</v>
      </c>
      <c r="AJ21" s="32" t="str">
        <f t="shared" si="56"/>
        <v>1+0,00105566452286843i</v>
      </c>
      <c r="AK21" s="32">
        <f t="shared" si="77"/>
        <v>1.00000055721364</v>
      </c>
      <c r="AL21" s="32">
        <f t="shared" si="78"/>
        <v>0.0010556641307148</v>
      </c>
      <c r="AM21" s="32" t="str">
        <f t="shared" si="57"/>
        <v>1-0,000179935083816775i</v>
      </c>
      <c r="AN21" s="32">
        <f t="shared" si="79"/>
        <v>1.00000001618832</v>
      </c>
      <c r="AO21" s="32">
        <f t="shared" si="80"/>
        <v>-0.000179935081874878</v>
      </c>
      <c r="AP21" s="30" t="str">
        <f t="shared" si="81"/>
        <v>672,953588434847-224,872687342521i</v>
      </c>
      <c r="AQ21" s="32">
        <f t="shared" si="82"/>
        <v>57.0194276509365</v>
      </c>
      <c r="AR21" s="31">
        <f t="shared" si="83"/>
        <v>-18.4774526659552</v>
      </c>
      <c r="AS21" t="str">
        <f t="shared" si="58"/>
        <v>-0,0000504684572142411</v>
      </c>
      <c r="AT21" t="str">
        <f t="shared" si="59"/>
        <v>0,0000151280496357484i</v>
      </c>
      <c r="AU21">
        <f t="shared" si="84"/>
        <v>1.51280496357484e-5</v>
      </c>
      <c r="AV21">
        <f t="shared" si="85"/>
        <v>1.5707963267949</v>
      </c>
      <c r="AW21" t="str">
        <f t="shared" si="60"/>
        <v>1+0,000774528393758255i</v>
      </c>
      <c r="AX21">
        <f t="shared" si="86"/>
        <v>1.00000029994707</v>
      </c>
      <c r="AY21">
        <f t="shared" si="87"/>
        <v>0.000774528238879939</v>
      </c>
      <c r="AZ21" t="str">
        <f t="shared" si="61"/>
        <v>1+0,0370290489526552i</v>
      </c>
      <c r="BA21">
        <f t="shared" si="88"/>
        <v>1.00068534038745</v>
      </c>
      <c r="BB21">
        <f t="shared" si="89"/>
        <v>0.0370121387297729</v>
      </c>
      <c r="BC21" s="30" t="str">
        <f t="shared" si="90"/>
        <v>-0,120948084258936+3,33617852867551i</v>
      </c>
      <c r="BD21" s="32">
        <f t="shared" si="91"/>
        <v>10.4706899083114</v>
      </c>
      <c r="BE21" s="31">
        <f t="shared" si="92"/>
        <v>92.0762621407672</v>
      </c>
      <c r="BF21" s="30" t="str">
        <f t="shared" si="93"/>
        <v>175,197566646291+473,865535537965i</v>
      </c>
      <c r="BG21" s="68">
        <f t="shared" si="94"/>
        <v>54.0695338638402</v>
      </c>
      <c r="BH21" s="31">
        <f t="shared" si="95"/>
        <v>69.7096385052915</v>
      </c>
      <c r="BI21" s="30" t="str">
        <f t="shared" si="96"/>
        <v>668,822983881308+2272,29123326771i</v>
      </c>
      <c r="BJ21" s="68">
        <f t="shared" si="97"/>
        <v>67.4901175592479</v>
      </c>
      <c r="BK21" s="31">
        <f t="shared" si="98"/>
        <v>73.598809474812</v>
      </c>
      <c r="BL21" s="32">
        <f t="shared" si="99"/>
        <v>54.0695338638402</v>
      </c>
      <c r="BM21" s="31">
        <f t="shared" si="100"/>
        <v>69.7096385052915</v>
      </c>
      <c r="BO21">
        <f t="shared" si="101"/>
        <v>0</v>
      </c>
      <c r="BP21">
        <f t="shared" si="102"/>
        <v>0</v>
      </c>
    </row>
    <row r="22" spans="1:68">
      <c r="A22" t="s">
        <v>477</v>
      </c>
      <c r="N22" s="7">
        <v>4</v>
      </c>
      <c r="O22" s="18">
        <f t="shared" si="62"/>
        <v>10.9647819614319</v>
      </c>
      <c r="P22" s="86" t="str">
        <f t="shared" si="50"/>
        <v>163,636363636364</v>
      </c>
      <c r="Q22" s="4" t="str">
        <f t="shared" si="51"/>
        <v>1+0,420878224071689i</v>
      </c>
      <c r="R22" s="4">
        <f t="shared" si="63"/>
        <v>1.08496012806819</v>
      </c>
      <c r="S22" s="4">
        <f t="shared" si="64"/>
        <v>0.398374292637743</v>
      </c>
      <c r="T22" s="4" t="str">
        <f t="shared" si="52"/>
        <v>1+0,00108025410845067i</v>
      </c>
      <c r="U22" s="4">
        <f t="shared" si="65"/>
        <v>1.0000005834743</v>
      </c>
      <c r="V22" s="4">
        <f t="shared" si="66"/>
        <v>0.0010802536882505</v>
      </c>
      <c r="W22" t="str">
        <f t="shared" si="53"/>
        <v>1-0,00103340635374745i</v>
      </c>
      <c r="X22" s="4">
        <f t="shared" si="67"/>
        <v>1.0000005339642</v>
      </c>
      <c r="Y22" s="4">
        <f t="shared" si="68"/>
        <v>-0.00103340598587959</v>
      </c>
      <c r="Z22" t="str">
        <f t="shared" si="54"/>
        <v>0,99999999901856+0,000214062744704829i</v>
      </c>
      <c r="AA22" s="4">
        <f t="shared" si="69"/>
        <v>1.00000002192999</v>
      </c>
      <c r="AB22" s="4">
        <f t="shared" si="70"/>
        <v>0.000214062741645263</v>
      </c>
      <c r="AC22" s="67" t="str">
        <f t="shared" si="71"/>
        <v>139,0023579953-58,5304280656595i</v>
      </c>
      <c r="AD22" s="68">
        <f t="shared" si="72"/>
        <v>43.5693303484279</v>
      </c>
      <c r="AE22" s="31">
        <f t="shared" si="73"/>
        <v>-22.8347463506738</v>
      </c>
      <c r="AF22" s="32" t="str">
        <f t="shared" si="74"/>
        <v>748,315388573934</v>
      </c>
      <c r="AG22" s="32" t="str">
        <f t="shared" si="55"/>
        <v>1+0,342937812206562i</v>
      </c>
      <c r="AH22" s="32">
        <f t="shared" si="75"/>
        <v>1.05716902292917</v>
      </c>
      <c r="AI22" s="32">
        <f t="shared" si="76"/>
        <v>0.330369537084367</v>
      </c>
      <c r="AJ22" s="32" t="str">
        <f t="shared" si="56"/>
        <v>1+0,00108025410845067i</v>
      </c>
      <c r="AK22" s="32">
        <f t="shared" si="77"/>
        <v>1.0000005834743</v>
      </c>
      <c r="AL22" s="32">
        <f t="shared" si="78"/>
        <v>0.0010802536882505</v>
      </c>
      <c r="AM22" s="32" t="str">
        <f t="shared" si="57"/>
        <v>1-0,000184126310335156i</v>
      </c>
      <c r="AN22" s="32">
        <f t="shared" si="79"/>
        <v>1.00000001695125</v>
      </c>
      <c r="AO22" s="32">
        <f t="shared" si="80"/>
        <v>-0.000184126308254375</v>
      </c>
      <c r="AP22" s="30" t="str">
        <f t="shared" si="81"/>
        <v>669,775642782361-229,020807383568i</v>
      </c>
      <c r="AQ22" s="32">
        <f t="shared" si="82"/>
        <v>56.998810160899</v>
      </c>
      <c r="AR22" s="31">
        <f t="shared" si="83"/>
        <v>-18.8774358378451</v>
      </c>
      <c r="AS22" t="str">
        <f t="shared" si="58"/>
        <v>-0,0000504684572142411</v>
      </c>
      <c r="AT22" t="str">
        <f t="shared" si="59"/>
        <v>0,0000154804271791368i</v>
      </c>
      <c r="AU22">
        <f t="shared" si="84"/>
        <v>1.54804271791368e-5</v>
      </c>
      <c r="AV22">
        <f t="shared" si="85"/>
        <v>1.5707963267949</v>
      </c>
      <c r="AW22" t="str">
        <f t="shared" si="60"/>
        <v>1+0,000792569477655292i</v>
      </c>
      <c r="AX22">
        <f t="shared" si="86"/>
        <v>1.00000031408314</v>
      </c>
      <c r="AY22">
        <f t="shared" si="87"/>
        <v>0.000792569311700189</v>
      </c>
      <c r="AZ22" t="str">
        <f t="shared" si="61"/>
        <v>1+0,0378915663040731i</v>
      </c>
      <c r="BA22">
        <f t="shared" si="88"/>
        <v>1.00071762790358</v>
      </c>
      <c r="BB22">
        <f t="shared" si="89"/>
        <v>0.0378734473755072</v>
      </c>
      <c r="BC22" s="30" t="str">
        <f t="shared" si="90"/>
        <v>-0,120948080839476+3,26024214837248i</v>
      </c>
      <c r="BD22" s="32">
        <f t="shared" si="91"/>
        <v>10.2709700347386</v>
      </c>
      <c r="BE22" s="31">
        <f t="shared" si="92"/>
        <v>92.1245778136954</v>
      </c>
      <c r="BF22" s="30" t="str">
        <f t="shared" si="93"/>
        <v>174,011300110253+460,260489204692i</v>
      </c>
      <c r="BG22" s="68">
        <f t="shared" si="94"/>
        <v>53.8403003831665</v>
      </c>
      <c r="BH22" s="31">
        <f t="shared" si="95"/>
        <v>69.2898314630216</v>
      </c>
      <c r="BI22" s="30" t="str">
        <f t="shared" si="96"/>
        <v>665,655210498651+2211,33040767767i</v>
      </c>
      <c r="BJ22" s="68">
        <f t="shared" si="97"/>
        <v>67.2697801956376</v>
      </c>
      <c r="BK22" s="31">
        <f t="shared" si="98"/>
        <v>73.2471419758502</v>
      </c>
      <c r="BL22" s="32">
        <f t="shared" si="99"/>
        <v>53.8403003831665</v>
      </c>
      <c r="BM22" s="31">
        <f t="shared" si="100"/>
        <v>69.2898314630216</v>
      </c>
      <c r="BO22">
        <f t="shared" si="101"/>
        <v>0</v>
      </c>
      <c r="BP22">
        <f t="shared" si="102"/>
        <v>0</v>
      </c>
    </row>
    <row r="23" spans="1:68">
      <c r="A23" t="s">
        <v>478</v>
      </c>
      <c r="B23" s="85">
        <f>Lm</f>
        <v>1e-5</v>
      </c>
      <c r="C23" t="s">
        <v>139</v>
      </c>
      <c r="E23" t="s">
        <v>479</v>
      </c>
      <c r="N23" s="7">
        <v>5</v>
      </c>
      <c r="O23" s="18">
        <f t="shared" si="62"/>
        <v>11.2201845430196</v>
      </c>
      <c r="P23" s="86" t="str">
        <f t="shared" si="50"/>
        <v>163,636363636364</v>
      </c>
      <c r="Q23" s="4" t="str">
        <f t="shared" si="51"/>
        <v>1+0,430681737296126i</v>
      </c>
      <c r="R23" s="4">
        <f t="shared" si="63"/>
        <v>1.08880060563926</v>
      </c>
      <c r="S23" s="4">
        <f t="shared" si="64"/>
        <v>0.406673270233616</v>
      </c>
      <c r="T23" s="4" t="str">
        <f t="shared" si="52"/>
        <v>1+0,00110541645906006i</v>
      </c>
      <c r="U23" s="4">
        <f t="shared" si="65"/>
        <v>1.00000061097259</v>
      </c>
      <c r="V23" s="4">
        <f t="shared" si="66"/>
        <v>0.00110541600880748</v>
      </c>
      <c r="W23" t="str">
        <f t="shared" si="53"/>
        <v>1-0,00105747747996817i</v>
      </c>
      <c r="X23" s="4">
        <f t="shared" si="67"/>
        <v>1.00000055912915</v>
      </c>
      <c r="Y23" s="4">
        <f t="shared" si="68"/>
        <v>-0.00105747708579067</v>
      </c>
      <c r="Z23" t="str">
        <f t="shared" si="54"/>
        <v>0,999999998972306+0,000219048906564834i</v>
      </c>
      <c r="AA23" s="4">
        <f t="shared" si="69"/>
        <v>1.00000002296352</v>
      </c>
      <c r="AB23" s="4">
        <f t="shared" si="70"/>
        <v>0.00021904890328645</v>
      </c>
      <c r="AC23" s="67" t="str">
        <f t="shared" si="71"/>
        <v>138,023043034023-59,4720038077271i</v>
      </c>
      <c r="AD23" s="68">
        <f t="shared" si="72"/>
        <v>43.5386392874302</v>
      </c>
      <c r="AE23" s="31">
        <f t="shared" si="73"/>
        <v>-23.3104659048714</v>
      </c>
      <c r="AF23" s="32" t="str">
        <f t="shared" si="74"/>
        <v>748,315388573934</v>
      </c>
      <c r="AG23" s="32" t="str">
        <f t="shared" si="55"/>
        <v>1+0,350925860019065i</v>
      </c>
      <c r="AH23" s="32">
        <f t="shared" si="75"/>
        <v>1.0597872235643</v>
      </c>
      <c r="AI23" s="32">
        <f t="shared" si="76"/>
        <v>0.337499400770065</v>
      </c>
      <c r="AJ23" s="32" t="str">
        <f t="shared" si="56"/>
        <v>1+0,00110541645906006i</v>
      </c>
      <c r="AK23" s="32">
        <f t="shared" si="77"/>
        <v>1.00000061097259</v>
      </c>
      <c r="AL23" s="32">
        <f t="shared" si="78"/>
        <v>0.00110541600880748</v>
      </c>
      <c r="AM23" s="32" t="str">
        <f t="shared" si="57"/>
        <v>1-0,000188415163060475i</v>
      </c>
      <c r="AN23" s="32">
        <f t="shared" si="79"/>
        <v>1.00000001775014</v>
      </c>
      <c r="AO23" s="32">
        <f t="shared" si="80"/>
        <v>-0.000188415160830878</v>
      </c>
      <c r="AP23" s="30" t="str">
        <f t="shared" si="81"/>
        <v>666,480029895911-233,198871495616i</v>
      </c>
      <c r="AQ23" s="32">
        <f t="shared" si="82"/>
        <v>56.9773253964021</v>
      </c>
      <c r="AR23" s="31">
        <f t="shared" si="83"/>
        <v>-19.2847509739201</v>
      </c>
      <c r="AS23" t="str">
        <f t="shared" si="58"/>
        <v>-0,0000504684572142411</v>
      </c>
      <c r="AT23" t="str">
        <f t="shared" si="59"/>
        <v>0,0000158410126499231i</v>
      </c>
      <c r="AU23">
        <f t="shared" si="84"/>
        <v>1.58410126499231e-5</v>
      </c>
      <c r="AV23">
        <f t="shared" si="85"/>
        <v>1.5707963267949</v>
      </c>
      <c r="AW23" t="str">
        <f t="shared" si="60"/>
        <v>1+0,000811030792380272i</v>
      </c>
      <c r="AX23">
        <f t="shared" si="86"/>
        <v>1.00000032888542</v>
      </c>
      <c r="AY23">
        <f t="shared" si="87"/>
        <v>0.000811030614556178</v>
      </c>
      <c r="AZ23" t="str">
        <f t="shared" si="61"/>
        <v>1+0,0387741742654993i</v>
      </c>
      <c r="BA23">
        <f t="shared" si="88"/>
        <v>1.00075143596698</v>
      </c>
      <c r="BB23">
        <f t="shared" si="89"/>
        <v>0.0387547602710061</v>
      </c>
      <c r="BC23" s="30" t="str">
        <f t="shared" si="90"/>
        <v>-0,120948077258863+3,1860343916107i</v>
      </c>
      <c r="BD23" s="32">
        <f t="shared" si="91"/>
        <v>10.071263343736</v>
      </c>
      <c r="BE23" s="31">
        <f t="shared" si="92"/>
        <v>92.1740155683</v>
      </c>
      <c r="BF23" s="30" t="str">
        <f t="shared" si="93"/>
        <v>172,786227797039+446,939186452437i</v>
      </c>
      <c r="BG23" s="68">
        <f t="shared" si="94"/>
        <v>53.6099026311662</v>
      </c>
      <c r="BH23" s="31">
        <f t="shared" si="95"/>
        <v>68.8635496634286</v>
      </c>
      <c r="BI23" s="30" t="str">
        <f t="shared" si="96"/>
        <v>662,370146522497+2151,63325169643i</v>
      </c>
      <c r="BJ23" s="68">
        <f t="shared" si="97"/>
        <v>67.0485887401381</v>
      </c>
      <c r="BK23" s="31">
        <f t="shared" si="98"/>
        <v>72.8892645943799</v>
      </c>
      <c r="BL23" s="32">
        <f t="shared" si="99"/>
        <v>53.6099026311662</v>
      </c>
      <c r="BM23" s="31">
        <f t="shared" si="100"/>
        <v>68.8635496634286</v>
      </c>
      <c r="BO23">
        <f t="shared" si="101"/>
        <v>0</v>
      </c>
      <c r="BP23">
        <f t="shared" si="102"/>
        <v>0</v>
      </c>
    </row>
    <row r="24" spans="1:68">
      <c r="N24" s="7">
        <v>6</v>
      </c>
      <c r="O24" s="18">
        <f t="shared" si="62"/>
        <v>11.4815362149688</v>
      </c>
      <c r="P24" s="86" t="str">
        <f t="shared" si="50"/>
        <v>163,636363636364</v>
      </c>
      <c r="Q24" s="4" t="str">
        <f t="shared" si="51"/>
        <v>1+0,440713603678426i</v>
      </c>
      <c r="R24" s="4">
        <f t="shared" si="63"/>
        <v>1.09280761365724</v>
      </c>
      <c r="S24" s="4">
        <f t="shared" si="64"/>
        <v>0.415104575593438</v>
      </c>
      <c r="T24" s="4" t="str">
        <f t="shared" si="52"/>
        <v>1+0,00113116491610796i</v>
      </c>
      <c r="U24" s="4">
        <f t="shared" si="65"/>
        <v>1.00000063976683</v>
      </c>
      <c r="V24" s="4">
        <f t="shared" si="66"/>
        <v>0.00113116443365365</v>
      </c>
      <c r="W24" t="str">
        <f t="shared" si="53"/>
        <v>1-0,00108210929474614i</v>
      </c>
      <c r="X24" s="4">
        <f t="shared" si="67"/>
        <v>1.00000058548009</v>
      </c>
      <c r="Y24" s="4">
        <f t="shared" si="68"/>
        <v>-0.00108210887237735</v>
      </c>
      <c r="Z24" t="str">
        <f t="shared" si="54"/>
        <v>0,999999998923872+0,000224151211054557i</v>
      </c>
      <c r="AA24" s="4">
        <f t="shared" si="69"/>
        <v>1.00000002404575</v>
      </c>
      <c r="AB24" s="4">
        <f t="shared" si="70"/>
        <v>0.000224151207541706</v>
      </c>
      <c r="AC24" s="67" t="str">
        <f t="shared" si="71"/>
        <v>137,012249344743-60,4118142059225i</v>
      </c>
      <c r="AD24" s="68">
        <f t="shared" si="72"/>
        <v>43.5067325903168</v>
      </c>
      <c r="AE24" s="31">
        <f t="shared" si="73"/>
        <v>-23.7937724796153</v>
      </c>
      <c r="AF24" s="32" t="str">
        <f t="shared" si="74"/>
        <v>748,315388573934</v>
      </c>
      <c r="AG24" s="32" t="str">
        <f t="shared" si="55"/>
        <v>1+0,359099973367606i</v>
      </c>
      <c r="AH24" s="32">
        <f t="shared" si="75"/>
        <v>1.06252190136139</v>
      </c>
      <c r="AI24" s="32">
        <f t="shared" si="76"/>
        <v>0.344758586357563</v>
      </c>
      <c r="AJ24" s="32" t="str">
        <f t="shared" si="56"/>
        <v>1+0,00113116491610796i</v>
      </c>
      <c r="AK24" s="32">
        <f t="shared" si="77"/>
        <v>1.00000063976683</v>
      </c>
      <c r="AL24" s="32">
        <f t="shared" si="78"/>
        <v>0.00113116443365365</v>
      </c>
      <c r="AM24" s="32" t="str">
        <f t="shared" si="57"/>
        <v>1-0,00019280391599922i</v>
      </c>
      <c r="AN24" s="32">
        <f t="shared" si="79"/>
        <v>1.00000001858667</v>
      </c>
      <c r="AO24" s="32">
        <f t="shared" si="80"/>
        <v>-0.000192803913610164</v>
      </c>
      <c r="AP24" s="30" t="str">
        <f t="shared" si="81"/>
        <v>663,06378285272-237,403996787017i</v>
      </c>
      <c r="AQ24" s="32">
        <f t="shared" si="82"/>
        <v>56.9549414285819</v>
      </c>
      <c r="AR24" s="31">
        <f t="shared" si="83"/>
        <v>-19.6994478517247</v>
      </c>
      <c r="AS24" t="str">
        <f t="shared" si="58"/>
        <v>-0,0000504684572142411</v>
      </c>
      <c r="AT24" t="str">
        <f t="shared" si="59"/>
        <v>0,0000162099972352971i</v>
      </c>
      <c r="AU24">
        <f t="shared" si="84"/>
        <v>1.62099972352971e-5</v>
      </c>
      <c r="AV24">
        <f t="shared" si="85"/>
        <v>1.5707963267949</v>
      </c>
      <c r="AW24" t="str">
        <f t="shared" si="60"/>
        <v>1+0,00082992212636664i</v>
      </c>
      <c r="AX24">
        <f t="shared" si="86"/>
        <v>1.00000034438531</v>
      </c>
      <c r="AY24">
        <f t="shared" si="87"/>
        <v>0.000829921935824694</v>
      </c>
      <c r="AZ24" t="str">
        <f t="shared" si="61"/>
        <v>1+0,0396773408073582i</v>
      </c>
      <c r="BA24">
        <f t="shared" si="88"/>
        <v>1.00078683613122</v>
      </c>
      <c r="BB24">
        <f t="shared" si="89"/>
        <v>0.0396565392206949</v>
      </c>
      <c r="BC24" s="30" t="str">
        <f t="shared" si="90"/>
        <v>-0,1209480735095+3,11351591245521i</v>
      </c>
      <c r="BD24" s="32">
        <f t="shared" si="91"/>
        <v>9.8715704547119</v>
      </c>
      <c r="BE24" s="31">
        <f t="shared" si="92"/>
        <v>92.2246013031928</v>
      </c>
      <c r="BF24" s="30" t="str">
        <f t="shared" si="93"/>
        <v>171,521777224977+433,896511081558i</v>
      </c>
      <c r="BG24" s="68">
        <f t="shared" si="94"/>
        <v>53.3783030450287</v>
      </c>
      <c r="BH24" s="31">
        <f t="shared" si="95"/>
        <v>68.4308288235774</v>
      </c>
      <c r="BI24" s="30" t="str">
        <f t="shared" si="96"/>
        <v>658,964834526885+2093,17319493954i</v>
      </c>
      <c r="BJ24" s="68">
        <f t="shared" si="97"/>
        <v>66.8265118832938</v>
      </c>
      <c r="BK24" s="31">
        <f t="shared" si="98"/>
        <v>72.5251534514681</v>
      </c>
      <c r="BL24" s="32">
        <f t="shared" si="99"/>
        <v>53.3783030450287</v>
      </c>
      <c r="BM24" s="31">
        <f t="shared" si="100"/>
        <v>68.4308288235774</v>
      </c>
      <c r="BO24">
        <f t="shared" si="101"/>
        <v>0</v>
      </c>
      <c r="BP24">
        <f t="shared" si="102"/>
        <v>0</v>
      </c>
    </row>
    <row r="25" spans="1:68">
      <c r="A25" t="s">
        <v>239</v>
      </c>
      <c r="B25" s="85">
        <f>R_cs</f>
        <v>0.01</v>
      </c>
      <c r="C25" s="16" t="s">
        <v>35</v>
      </c>
      <c r="E25" t="s">
        <v>480</v>
      </c>
      <c r="N25" s="7">
        <v>7</v>
      </c>
      <c r="O25" s="18">
        <f t="shared" si="62"/>
        <v>11.7489755493953</v>
      </c>
      <c r="P25" s="86" t="str">
        <f t="shared" si="50"/>
        <v>163,636363636364</v>
      </c>
      <c r="Q25" s="4" t="str">
        <f t="shared" si="51"/>
        <v>1+0,450979142246933i</v>
      </c>
      <c r="R25" s="4">
        <f t="shared" si="63"/>
        <v>1.0969877787568</v>
      </c>
      <c r="S25" s="4">
        <f t="shared" si="64"/>
        <v>0.423667883213858</v>
      </c>
      <c r="T25" s="4" t="str">
        <f t="shared" si="52"/>
        <v>1+0,00115751313176713i</v>
      </c>
      <c r="U25" s="4">
        <f t="shared" si="65"/>
        <v>1.0000006699181</v>
      </c>
      <c r="V25" s="4">
        <f t="shared" si="66"/>
        <v>0.00115751261480804</v>
      </c>
      <c r="W25" t="str">
        <f t="shared" si="53"/>
        <v>1-0,00110731485819559i</v>
      </c>
      <c r="X25" s="4">
        <f t="shared" si="67"/>
        <v>1.00000061307291</v>
      </c>
      <c r="Y25" s="4">
        <f t="shared" si="68"/>
        <v>-0.00110731440561929</v>
      </c>
      <c r="Z25" t="str">
        <f t="shared" si="54"/>
        <v>0,999999998873156+0,000229372363483373i</v>
      </c>
      <c r="AA25" s="4">
        <f t="shared" si="69"/>
        <v>1.000000025179</v>
      </c>
      <c r="AB25" s="4">
        <f t="shared" si="70"/>
        <v>0.000229372359719285</v>
      </c>
      <c r="AC25" s="67" t="str">
        <f t="shared" si="71"/>
        <v>135,969558282438-61,3487542090801i</v>
      </c>
      <c r="AD25" s="68">
        <f t="shared" si="72"/>
        <v>43.4735715392209</v>
      </c>
      <c r="AE25" s="31">
        <f t="shared" si="73"/>
        <v>-24.2846475460187</v>
      </c>
      <c r="AF25" s="32" t="str">
        <f t="shared" si="74"/>
        <v>748,315388573934</v>
      </c>
      <c r="AG25" s="32" t="str">
        <f t="shared" si="55"/>
        <v>1+0,367464486275278i</v>
      </c>
      <c r="AH25" s="32">
        <f t="shared" si="75"/>
        <v>1.06537793701275</v>
      </c>
      <c r="AI25" s="32">
        <f t="shared" si="76"/>
        <v>0.352147881584555</v>
      </c>
      <c r="AJ25" s="32" t="str">
        <f t="shared" si="56"/>
        <v>1+0,00115751313176713i</v>
      </c>
      <c r="AK25" s="32">
        <f t="shared" si="77"/>
        <v>1.0000006699181</v>
      </c>
      <c r="AL25" s="32">
        <f t="shared" si="78"/>
        <v>0.00115751261480804</v>
      </c>
      <c r="AM25" s="32" t="str">
        <f t="shared" si="57"/>
        <v>1-0,000197294896126289i</v>
      </c>
      <c r="AN25" s="32">
        <f t="shared" si="79"/>
        <v>1.00000001946264</v>
      </c>
      <c r="AO25" s="32">
        <f t="shared" si="80"/>
        <v>-0.00019729489356637</v>
      </c>
      <c r="AP25" s="30" t="str">
        <f t="shared" si="81"/>
        <v>659,523978732676-241,633093949111i</v>
      </c>
      <c r="AQ25" s="32">
        <f t="shared" si="82"/>
        <v>56.9316255391911</v>
      </c>
      <c r="AR25" s="31">
        <f t="shared" si="83"/>
        <v>-20.1215709564269</v>
      </c>
      <c r="AS25" t="str">
        <f t="shared" si="58"/>
        <v>-0,0000504684572142411</v>
      </c>
      <c r="AT25" t="str">
        <f t="shared" si="59"/>
        <v>0,00001658757657577i</v>
      </c>
      <c r="AU25">
        <f t="shared" si="84"/>
        <v>1.658757657577e-5</v>
      </c>
      <c r="AV25">
        <f t="shared" si="85"/>
        <v>1.5707963267949</v>
      </c>
      <c r="AW25" t="str">
        <f t="shared" si="60"/>
        <v>1+0,000849253496049727i</v>
      </c>
      <c r="AX25">
        <f t="shared" si="86"/>
        <v>1.00000036061569</v>
      </c>
      <c r="AY25">
        <f t="shared" si="87"/>
        <v>0.000849253291880358</v>
      </c>
      <c r="AZ25" t="str">
        <f t="shared" si="61"/>
        <v>1+0,040601544800505i</v>
      </c>
      <c r="BA25">
        <f t="shared" si="88"/>
        <v>1.00082390331176</v>
      </c>
      <c r="BB25">
        <f t="shared" si="89"/>
        <v>0.0405792564897111</v>
      </c>
      <c r="BC25" s="30" t="str">
        <f t="shared" si="90"/>
        <v>-0,120948069583436+3,04264826064844i</v>
      </c>
      <c r="BD25" s="32">
        <f t="shared" si="91"/>
        <v>9.67189201608667</v>
      </c>
      <c r="BE25" s="31">
        <f t="shared" si="92"/>
        <v>92.276361503277</v>
      </c>
      <c r="BF25" s="30" t="str">
        <f t="shared" si="93"/>
        <v>170,217424690833+421,127553402134i</v>
      </c>
      <c r="BG25" s="68">
        <f t="shared" si="94"/>
        <v>53.1454635553076</v>
      </c>
      <c r="BH25" s="31">
        <f t="shared" si="95"/>
        <v>67.9917139572582</v>
      </c>
      <c r="BI25" s="30" t="str">
        <f t="shared" si="96"/>
        <v>655,436360947659+2035,92454300753i</v>
      </c>
      <c r="BJ25" s="68">
        <f t="shared" si="97"/>
        <v>66.6035175552777</v>
      </c>
      <c r="BK25" s="31">
        <f t="shared" si="98"/>
        <v>72.1547905468501</v>
      </c>
      <c r="BL25" s="32">
        <f t="shared" si="99"/>
        <v>53.1454635553076</v>
      </c>
      <c r="BM25" s="31">
        <f t="shared" si="100"/>
        <v>67.9917139572582</v>
      </c>
      <c r="BO25">
        <f t="shared" si="101"/>
        <v>0</v>
      </c>
      <c r="BP25">
        <f t="shared" si="102"/>
        <v>0</v>
      </c>
    </row>
    <row r="26" customFormat="1" spans="1:68">
      <c r="A26" t="s">
        <v>241</v>
      </c>
      <c r="B26" s="85">
        <f>R_sl</f>
        <v>0</v>
      </c>
      <c r="C26" s="16" t="s">
        <v>35</v>
      </c>
      <c r="E26" t="s">
        <v>481</v>
      </c>
      <c r="N26" s="7">
        <v>8</v>
      </c>
      <c r="O26" s="18">
        <f t="shared" si="62"/>
        <v>12.0226443461741</v>
      </c>
      <c r="P26" s="86" t="str">
        <f t="shared" si="50"/>
        <v>163,636363636364</v>
      </c>
      <c r="Q26" s="4" t="str">
        <f t="shared" si="51"/>
        <v>1+0,46148379592607i</v>
      </c>
      <c r="R26" s="4">
        <f t="shared" si="63"/>
        <v>1.10134794406778</v>
      </c>
      <c r="S26" s="4">
        <f t="shared" si="64"/>
        <v>0.432362708835666</v>
      </c>
      <c r="T26" s="4" t="str">
        <f t="shared" si="52"/>
        <v>1+0,00118447507621024i</v>
      </c>
      <c r="U26" s="4">
        <f t="shared" si="65"/>
        <v>1.00000070149036</v>
      </c>
      <c r="V26" s="4">
        <f t="shared" si="66"/>
        <v>0.00118447452227862</v>
      </c>
      <c r="W26" t="str">
        <f t="shared" si="53"/>
        <v>1-0,0011331075346399i</v>
      </c>
      <c r="X26" s="4">
        <f t="shared" si="67"/>
        <v>1.00000064196614</v>
      </c>
      <c r="Y26" s="4">
        <f t="shared" si="68"/>
        <v>-0.00113310704969567</v>
      </c>
      <c r="Z26" t="str">
        <f t="shared" si="54"/>
        <v>0,999999998820049+0,000234715132175408i</v>
      </c>
      <c r="AA26" s="4">
        <f t="shared" si="69"/>
        <v>1.00000002636565</v>
      </c>
      <c r="AB26" s="4">
        <f t="shared" si="70"/>
        <v>0.000234715128142115</v>
      </c>
      <c r="AC26" s="67" t="str">
        <f t="shared" si="71"/>
        <v>134,894594123775-62,281671729131i</v>
      </c>
      <c r="AD26" s="68">
        <f t="shared" si="72"/>
        <v>43.4391169306612</v>
      </c>
      <c r="AE26" s="31">
        <f t="shared" si="73"/>
        <v>-24.7830634819745</v>
      </c>
      <c r="AF26" s="32" t="str">
        <f t="shared" si="74"/>
        <v>748,315388573934</v>
      </c>
      <c r="AG26" s="32" t="str">
        <f t="shared" si="55"/>
        <v>1+0,376023833717538i</v>
      </c>
      <c r="AH26" s="32">
        <f t="shared" si="75"/>
        <v>1.06836039028206</v>
      </c>
      <c r="AI26" s="32">
        <f t="shared" si="76"/>
        <v>0.359667975636882</v>
      </c>
      <c r="AJ26" s="32" t="str">
        <f t="shared" si="56"/>
        <v>1+0,00118447507621024i</v>
      </c>
      <c r="AK26" s="32">
        <f t="shared" si="77"/>
        <v>1.00000070149036</v>
      </c>
      <c r="AL26" s="32">
        <f t="shared" si="78"/>
        <v>0.00118447452227862</v>
      </c>
      <c r="AM26" s="32" t="str">
        <f t="shared" si="57"/>
        <v>1-0,000201890484618791i</v>
      </c>
      <c r="AN26" s="32">
        <f t="shared" si="79"/>
        <v>1.00000002037988</v>
      </c>
      <c r="AO26" s="32">
        <f t="shared" si="80"/>
        <v>-0.000201890481875788</v>
      </c>
      <c r="AP26" s="30" t="str">
        <f t="shared" si="81"/>
        <v>655,85775085204-245,882862678283i</v>
      </c>
      <c r="AQ26" s="32">
        <f t="shared" si="82"/>
        <v>56.9073442340126</v>
      </c>
      <c r="AR26" s="31">
        <f t="shared" si="83"/>
        <v>-20.5511591114755</v>
      </c>
      <c r="AS26" t="str">
        <f t="shared" si="58"/>
        <v>-0,0000504684572142411</v>
      </c>
      <c r="AT26" t="str">
        <f t="shared" si="59"/>
        <v>0,0000169739508689057i</v>
      </c>
      <c r="AU26">
        <f t="shared" si="84"/>
        <v>1.69739508689057e-5</v>
      </c>
      <c r="AV26">
        <f t="shared" si="85"/>
        <v>1.5707963267949</v>
      </c>
      <c r="AW26" t="str">
        <f t="shared" si="60"/>
        <v>1+0,000869035151177614i</v>
      </c>
      <c r="AX26">
        <f t="shared" si="86"/>
        <v>1.00000037761098</v>
      </c>
      <c r="AY26">
        <f t="shared" si="87"/>
        <v>0.000869034932406198</v>
      </c>
      <c r="AZ26" t="str">
        <f t="shared" si="61"/>
        <v>1+0,0415472762701297i</v>
      </c>
      <c r="BA26">
        <f t="shared" si="88"/>
        <v>1.00086271594333</v>
      </c>
      <c r="BB26">
        <f t="shared" si="89"/>
        <v>0.0415233950265155</v>
      </c>
      <c r="BC26" s="30" t="str">
        <f t="shared" si="90"/>
        <v>-0,120948065472343+2,97339386122341i</v>
      </c>
      <c r="BD26" s="32">
        <f t="shared" si="91"/>
        <v>9.47222870664315</v>
      </c>
      <c r="BE26" s="31">
        <f t="shared" si="92"/>
        <v>92.3293232521975</v>
      </c>
      <c r="BF26" s="30" t="str">
        <f t="shared" si="93"/>
        <v>168,872700184182+408,627605789878i</v>
      </c>
      <c r="BG26" s="68">
        <f t="shared" si="94"/>
        <v>52.9113456373044</v>
      </c>
      <c r="BH26" s="31">
        <f t="shared" si="95"/>
        <v>67.5462597702231</v>
      </c>
      <c r="BI26" s="30" t="str">
        <f t="shared" si="96"/>
        <v>651,781868277049+1979,86246679299i</v>
      </c>
      <c r="BJ26" s="68">
        <f t="shared" si="97"/>
        <v>66.3795729406557</v>
      </c>
      <c r="BK26" s="31">
        <f t="shared" si="98"/>
        <v>71.778164140722</v>
      </c>
      <c r="BL26" s="32">
        <f t="shared" si="99"/>
        <v>52.9113456373044</v>
      </c>
      <c r="BM26" s="31">
        <f t="shared" si="100"/>
        <v>67.5462597702231</v>
      </c>
      <c r="BO26">
        <f t="shared" si="101"/>
        <v>0</v>
      </c>
      <c r="BP26">
        <f t="shared" si="102"/>
        <v>0</v>
      </c>
    </row>
    <row r="27" customFormat="1" spans="1:68">
      <c r="A27" t="s">
        <v>482</v>
      </c>
      <c r="B27" s="10">
        <f>Rsl_int</f>
        <v>2000</v>
      </c>
      <c r="C27" s="16" t="s">
        <v>35</v>
      </c>
      <c r="E27" t="s">
        <v>483</v>
      </c>
      <c r="N27" s="7">
        <v>9</v>
      </c>
      <c r="O27" s="18">
        <f t="shared" si="62"/>
        <v>12.3026877081238</v>
      </c>
      <c r="P27" s="86" t="str">
        <f t="shared" si="50"/>
        <v>163,636363636364</v>
      </c>
      <c r="Q27" s="4" t="str">
        <f t="shared" si="51"/>
        <v>1+0,47223313442227i</v>
      </c>
      <c r="R27" s="4">
        <f t="shared" si="63"/>
        <v>1.10589517281082</v>
      </c>
      <c r="S27" s="4">
        <f t="shared" si="64"/>
        <v>0.441188402908151</v>
      </c>
      <c r="T27" s="4" t="str">
        <f t="shared" si="52"/>
        <v>1+0,00121206504501716i</v>
      </c>
      <c r="U27" s="4">
        <f t="shared" si="65"/>
        <v>1.00000073455057</v>
      </c>
      <c r="V27" s="4">
        <f t="shared" si="66"/>
        <v>0.00121206445146875</v>
      </c>
      <c r="W27" t="str">
        <f t="shared" si="53"/>
        <v>1-0,00115950099969754i</v>
      </c>
      <c r="X27" s="4">
        <f t="shared" si="67"/>
        <v>1.00000067222106</v>
      </c>
      <c r="Y27" s="4">
        <f t="shared" si="68"/>
        <v>-0.00115950048007046</v>
      </c>
      <c r="Z27" t="str">
        <f t="shared" si="54"/>
        <v>0,99999999876444+0,000240182349937347i</v>
      </c>
      <c r="AA27" s="4">
        <f t="shared" si="69"/>
        <v>1.00000002760822</v>
      </c>
      <c r="AB27" s="4">
        <f t="shared" si="70"/>
        <v>0.000240182345615595</v>
      </c>
      <c r="AC27" s="67" t="str">
        <f t="shared" si="71"/>
        <v>133,787028065853-63,2093688392484i</v>
      </c>
      <c r="AD27" s="68">
        <f t="shared" si="72"/>
        <v>43.4033291304201</v>
      </c>
      <c r="AE27" s="31">
        <f t="shared" si="73"/>
        <v>-25.2889831977562</v>
      </c>
      <c r="AF27" s="32" t="str">
        <f t="shared" si="74"/>
        <v>748,315388573934</v>
      </c>
      <c r="AG27" s="32" t="str">
        <f t="shared" si="55"/>
        <v>1+0,384782553973701i</v>
      </c>
      <c r="AH27" s="32">
        <f t="shared" si="75"/>
        <v>1.07147450452287</v>
      </c>
      <c r="AI27" s="32">
        <f t="shared" si="76"/>
        <v>0.367319452576266</v>
      </c>
      <c r="AJ27" s="32" t="str">
        <f t="shared" si="56"/>
        <v>1+0,00121206504501716i</v>
      </c>
      <c r="AK27" s="32">
        <f t="shared" si="77"/>
        <v>1.00000073455057</v>
      </c>
      <c r="AL27" s="32">
        <f t="shared" si="78"/>
        <v>0.00121206445146875</v>
      </c>
      <c r="AM27" s="32" t="str">
        <f t="shared" si="57"/>
        <v>1-0,000206593118118574i</v>
      </c>
      <c r="AN27" s="32">
        <f t="shared" si="79"/>
        <v>1.00000002134036</v>
      </c>
      <c r="AO27" s="32">
        <f t="shared" si="80"/>
        <v>-0.000206593115179393</v>
      </c>
      <c r="AP27" s="30" t="str">
        <f t="shared" si="81"/>
        <v>652,062301765243-250,149787707523i</v>
      </c>
      <c r="AQ27" s="32">
        <f t="shared" si="82"/>
        <v>56.882063259656</v>
      </c>
      <c r="AR27" s="31">
        <f t="shared" si="83"/>
        <v>-20.9882451016851</v>
      </c>
      <c r="AS27" t="str">
        <f t="shared" si="58"/>
        <v>-0,0000504684572142411</v>
      </c>
      <c r="AT27" t="str">
        <f t="shared" si="59"/>
        <v>0,0000173693249754691i</v>
      </c>
      <c r="AU27">
        <f t="shared" si="84"/>
        <v>1.73693249754691e-5</v>
      </c>
      <c r="AV27">
        <f t="shared" si="85"/>
        <v>1.5707963267949</v>
      </c>
      <c r="AW27" t="str">
        <f t="shared" si="60"/>
        <v>1+0,0008892775802457i</v>
      </c>
      <c r="AX27">
        <f t="shared" si="86"/>
        <v>1.00000039540723</v>
      </c>
      <c r="AY27">
        <f t="shared" si="87"/>
        <v>0.000889277345827909</v>
      </c>
      <c r="AZ27" t="str">
        <f t="shared" si="61"/>
        <v>1+0,0425150366555763i</v>
      </c>
      <c r="BA27">
        <f t="shared" si="88"/>
        <v>1.00090335614475</v>
      </c>
      <c r="BB27">
        <f t="shared" si="89"/>
        <v>0.0424894486891975</v>
      </c>
      <c r="BC27" s="30" t="str">
        <f t="shared" si="90"/>
        <v>-0,1209480611675+2,90571599458075i</v>
      </c>
      <c r="BD27" s="32">
        <f t="shared" si="91"/>
        <v>9.27258123693785</v>
      </c>
      <c r="BE27" s="31">
        <f t="shared" si="92"/>
        <v>92.3835142449962</v>
      </c>
      <c r="BF27" s="30" t="str">
        <f t="shared" si="93"/>
        <v>167,487192389631+396,392157927101i</v>
      </c>
      <c r="BG27" s="68">
        <f t="shared" si="94"/>
        <v>52.6759103673579</v>
      </c>
      <c r="BH27" s="31">
        <f t="shared" si="95"/>
        <v>67.09453104724</v>
      </c>
      <c r="BI27" s="30" t="str">
        <f t="shared" si="96"/>
        <v>647,998568023805+1924,96299152709i</v>
      </c>
      <c r="BJ27" s="68">
        <f t="shared" si="97"/>
        <v>66.1546444965939</v>
      </c>
      <c r="BK27" s="31">
        <f t="shared" si="98"/>
        <v>71.395269143311</v>
      </c>
      <c r="BL27" s="32">
        <f t="shared" si="99"/>
        <v>52.6759103673579</v>
      </c>
      <c r="BM27" s="31">
        <f t="shared" si="100"/>
        <v>67.09453104724</v>
      </c>
      <c r="BO27">
        <f t="shared" si="101"/>
        <v>0</v>
      </c>
      <c r="BP27">
        <f t="shared" si="102"/>
        <v>0</v>
      </c>
    </row>
    <row r="28" spans="1:68">
      <c r="A28" t="s">
        <v>484</v>
      </c>
      <c r="B28" s="10">
        <f>Isl</f>
        <v>4.3e-5</v>
      </c>
      <c r="C28" s="16" t="s">
        <v>12</v>
      </c>
      <c r="E28" t="s">
        <v>485</v>
      </c>
      <c r="N28" s="7">
        <v>10</v>
      </c>
      <c r="O28" s="18">
        <f t="shared" si="62"/>
        <v>12.5892541179417</v>
      </c>
      <c r="P28" s="86" t="str">
        <f t="shared" si="50"/>
        <v>163,636363636364</v>
      </c>
      <c r="Q28" s="4" t="str">
        <f t="shared" si="51"/>
        <v>1+0,483232857177085i</v>
      </c>
      <c r="R28" s="4">
        <f t="shared" si="63"/>
        <v>1.11063675171297</v>
      </c>
      <c r="S28" s="4">
        <f t="shared" si="64"/>
        <v>0.450144144244991</v>
      </c>
      <c r="T28" s="4" t="str">
        <f t="shared" si="52"/>
        <v>1+0,00124029766675452i</v>
      </c>
      <c r="U28" s="4">
        <f t="shared" si="65"/>
        <v>1.00000076916886</v>
      </c>
      <c r="V28" s="4">
        <f t="shared" si="66"/>
        <v>0.00124029703075597</v>
      </c>
      <c r="W28" t="str">
        <f t="shared" si="53"/>
        <v>1-0,00118650924753302i</v>
      </c>
      <c r="X28" s="4">
        <f t="shared" si="67"/>
        <v>1.00000070390185</v>
      </c>
      <c r="Y28" s="4">
        <f t="shared" si="68"/>
        <v>-0.00118650869074259</v>
      </c>
      <c r="Z28" t="str">
        <f t="shared" si="54"/>
        <v>0,99999999870621+0,000245776915560412i</v>
      </c>
      <c r="AA28" s="4">
        <f t="shared" si="69"/>
        <v>1.00000002890936</v>
      </c>
      <c r="AB28" s="4">
        <f t="shared" si="70"/>
        <v>0.000245776910929572</v>
      </c>
      <c r="AC28" s="67" t="str">
        <f t="shared" si="71"/>
        <v>132,646582271544-64,1306033026354i</v>
      </c>
      <c r="AD28" s="68">
        <f t="shared" si="72"/>
        <v>43.3661681333388</v>
      </c>
      <c r="AE28" s="31">
        <f t="shared" si="73"/>
        <v>-25.8023597725945</v>
      </c>
      <c r="AF28" s="32" t="str">
        <f t="shared" si="74"/>
        <v>748,315388573934</v>
      </c>
      <c r="AG28" s="32" t="str">
        <f t="shared" si="55"/>
        <v>1+0,393745291033181i</v>
      </c>
      <c r="AH28" s="32">
        <f t="shared" si="75"/>
        <v>1.07472571115183</v>
      </c>
      <c r="AI28" s="32">
        <f t="shared" si="76"/>
        <v>0.375102784656083</v>
      </c>
      <c r="AJ28" s="32" t="str">
        <f t="shared" si="56"/>
        <v>1+0,00124029766675452i</v>
      </c>
      <c r="AK28" s="32">
        <f t="shared" si="77"/>
        <v>1.00000076916886</v>
      </c>
      <c r="AL28" s="32">
        <f t="shared" si="78"/>
        <v>0.00124029703075597</v>
      </c>
      <c r="AM28" s="32" t="str">
        <f t="shared" si="57"/>
        <v>1-0,000211405290024168i</v>
      </c>
      <c r="AN28" s="32">
        <f t="shared" si="79"/>
        <v>1.0000000223461</v>
      </c>
      <c r="AO28" s="32">
        <f t="shared" si="80"/>
        <v>-0.000211405286874779</v>
      </c>
      <c r="AP28" s="30" t="str">
        <f t="shared" si="81"/>
        <v>648,134917023145-254,430135533351i</v>
      </c>
      <c r="AQ28" s="32">
        <f t="shared" si="82"/>
        <v>56.8557476239387</v>
      </c>
      <c r="AR28" s="31">
        <f t="shared" si="83"/>
        <v>-21.4328552898979</v>
      </c>
      <c r="AS28" t="str">
        <f t="shared" si="58"/>
        <v>-0,0000504684572142411</v>
      </c>
      <c r="AT28" t="str">
        <f t="shared" si="59"/>
        <v>0,0000177739085280447i</v>
      </c>
      <c r="AU28">
        <f t="shared" si="84"/>
        <v>1.77739085280447e-5</v>
      </c>
      <c r="AV28">
        <f t="shared" si="85"/>
        <v>1.5707963267949</v>
      </c>
      <c r="AW28" t="str">
        <f t="shared" si="60"/>
        <v>1+0,000909991516057814i</v>
      </c>
      <c r="AX28">
        <f t="shared" si="86"/>
        <v>1.00000041404219</v>
      </c>
      <c r="AY28">
        <f t="shared" si="87"/>
        <v>0.000909991264874631</v>
      </c>
      <c r="AZ28" t="str">
        <f t="shared" si="61"/>
        <v>1+0,0435053390762107i</v>
      </c>
      <c r="BA28">
        <f t="shared" si="88"/>
        <v>1.00094590989131</v>
      </c>
      <c r="BB28">
        <f t="shared" si="89"/>
        <v>0.0434779224754545</v>
      </c>
      <c r="BC28" s="30" t="str">
        <f t="shared" si="90"/>
        <v>-0,120948056659776+2,83957877701975i</v>
      </c>
      <c r="BD28" s="32">
        <f t="shared" si="91"/>
        <v>9.07295035077845</v>
      </c>
      <c r="BE28" s="31">
        <f t="shared" si="92"/>
        <v>92.4389628009695</v>
      </c>
      <c r="BF28" s="30" t="str">
        <f t="shared" si="93"/>
        <v>166,060553747332+384,416891704353i</v>
      </c>
      <c r="BG28" s="68">
        <f t="shared" si="94"/>
        <v>52.4391184841172</v>
      </c>
      <c r="BH28" s="31">
        <f t="shared" si="95"/>
        <v>66.6366030283749</v>
      </c>
      <c r="BI28" s="30" t="str">
        <f t="shared" si="96"/>
        <v>644,083754427467+1871,20298547282i</v>
      </c>
      <c r="BJ28" s="68">
        <f t="shared" si="97"/>
        <v>65.9286979747171</v>
      </c>
      <c r="BK28" s="31">
        <f t="shared" si="98"/>
        <v>71.0061075110716</v>
      </c>
      <c r="BL28" s="32">
        <f t="shared" si="99"/>
        <v>52.4391184841172</v>
      </c>
      <c r="BM28" s="31">
        <f t="shared" si="100"/>
        <v>66.6366030283749</v>
      </c>
      <c r="BO28">
        <f t="shared" si="101"/>
        <v>0</v>
      </c>
      <c r="BP28">
        <f t="shared" si="102"/>
        <v>0</v>
      </c>
    </row>
    <row r="29" spans="1:68">
      <c r="B29" s="13"/>
      <c r="C29" s="16"/>
      <c r="N29" s="7">
        <v>11</v>
      </c>
      <c r="O29" s="18">
        <f t="shared" si="62"/>
        <v>12.8824955169313</v>
      </c>
      <c r="P29" s="86" t="str">
        <f t="shared" si="50"/>
        <v>163,636363636364</v>
      </c>
      <c r="Q29" s="4" t="str">
        <f t="shared" si="51"/>
        <v>1+0,494488796389115i</v>
      </c>
      <c r="R29" s="4">
        <f t="shared" si="63"/>
        <v>1.11558019422826</v>
      </c>
      <c r="S29" s="4">
        <f t="shared" si="64"/>
        <v>0.459228933919454</v>
      </c>
      <c r="T29" s="4" t="str">
        <f t="shared" si="52"/>
        <v>1+0,00126918791073206i</v>
      </c>
      <c r="U29" s="4">
        <f t="shared" si="65"/>
        <v>1.00000080541865</v>
      </c>
      <c r="V29" s="4">
        <f t="shared" si="66"/>
        <v>0.00126918722924737</v>
      </c>
      <c r="W29" t="str">
        <f t="shared" si="53"/>
        <v>1-0,00121414659827685i</v>
      </c>
      <c r="X29" s="4">
        <f t="shared" si="67"/>
        <v>1.00000073707571</v>
      </c>
      <c r="Y29" s="4">
        <f t="shared" si="68"/>
        <v>-0.00121414600166518</v>
      </c>
      <c r="Z29" t="str">
        <f t="shared" si="54"/>
        <v>0,999999998645235+0,000251501795357346i</v>
      </c>
      <c r="AA29" s="4">
        <f t="shared" si="69"/>
        <v>1.00000003027181</v>
      </c>
      <c r="AB29" s="4">
        <f t="shared" si="70"/>
        <v>0.000251501790395311</v>
      </c>
      <c r="AC29" s="67" t="str">
        <f t="shared" si="71"/>
        <v>131,473033934964-65,0440904486306i</v>
      </c>
      <c r="AD29" s="68">
        <f t="shared" si="72"/>
        <v>43.3275936280691</v>
      </c>
      <c r="AE29" s="31">
        <f t="shared" si="73"/>
        <v>-26.3231361049668</v>
      </c>
      <c r="AF29" s="32" t="str">
        <f t="shared" si="74"/>
        <v>748,315388573934</v>
      </c>
      <c r="AG29" s="32" t="str">
        <f t="shared" si="55"/>
        <v>1+0,402916797057797i</v>
      </c>
      <c r="AH29" s="32">
        <f t="shared" si="75"/>
        <v>1.07811963406262</v>
      </c>
      <c r="AI29" s="32">
        <f t="shared" si="76"/>
        <v>0.383018325548043</v>
      </c>
      <c r="AJ29" s="32" t="str">
        <f t="shared" si="56"/>
        <v>1+0,00126918791073206i</v>
      </c>
      <c r="AK29" s="32">
        <f t="shared" si="77"/>
        <v>1.00000080541865</v>
      </c>
      <c r="AL29" s="32">
        <f t="shared" si="78"/>
        <v>0.00126918722924737</v>
      </c>
      <c r="AM29" s="32" t="str">
        <f t="shared" si="57"/>
        <v>1-0,00021632955181281i</v>
      </c>
      <c r="AN29" s="32">
        <f t="shared" si="79"/>
        <v>1.00000002339924</v>
      </c>
      <c r="AO29" s="32">
        <f t="shared" si="80"/>
        <v>-0.000216329548438179</v>
      </c>
      <c r="AP29" s="30" t="str">
        <f t="shared" si="81"/>
        <v>644,072979668028-258,719951927345i</v>
      </c>
      <c r="AQ29" s="32">
        <f t="shared" si="82"/>
        <v>56.8283616200534</v>
      </c>
      <c r="AR29" s="31">
        <f t="shared" si="83"/>
        <v>-21.8850092285324</v>
      </c>
      <c r="AS29" t="str">
        <f t="shared" si="58"/>
        <v>-0,0000504684572142411</v>
      </c>
      <c r="AT29" t="str">
        <f t="shared" si="59"/>
        <v>0,0000181879160421871i</v>
      </c>
      <c r="AU29">
        <f t="shared" si="84"/>
        <v>1.81879160421871e-5</v>
      </c>
      <c r="AV29">
        <f t="shared" si="85"/>
        <v>1.5707963267949</v>
      </c>
      <c r="AW29" t="str">
        <f t="shared" si="60"/>
        <v>1+0,000931187941416894i</v>
      </c>
      <c r="AX29">
        <f t="shared" si="86"/>
        <v>1.0000004335554</v>
      </c>
      <c r="AY29">
        <f t="shared" si="87"/>
        <v>0.000931187672269271</v>
      </c>
      <c r="AZ29" t="str">
        <f t="shared" si="61"/>
        <v>1+0,0445187086034842i</v>
      </c>
      <c r="BA29">
        <f t="shared" si="88"/>
        <v>1.00099046719523</v>
      </c>
      <c r="BB29">
        <f t="shared" si="89"/>
        <v>0.0444893327562235</v>
      </c>
      <c r="BC29" s="30" t="str">
        <f t="shared" si="90"/>
        <v>-0,12094805193961+2,77494714171225i</v>
      </c>
      <c r="BD29" s="32">
        <f t="shared" si="91"/>
        <v>8.87333682676786</v>
      </c>
      <c r="BE29" s="31">
        <f t="shared" si="92"/>
        <v>92.4956978767291</v>
      </c>
      <c r="BF29" s="30" t="str">
        <f t="shared" si="93"/>
        <v>164,592505538676+372,697675760012i</v>
      </c>
      <c r="BG29" s="68">
        <f t="shared" si="94"/>
        <v>52.200930454837</v>
      </c>
      <c r="BH29" s="31">
        <f t="shared" si="95"/>
        <v>66.1725617717623</v>
      </c>
      <c r="BI29" s="30" t="str">
        <f t="shared" si="96"/>
        <v>640,034818906929+1818,56014816741i</v>
      </c>
      <c r="BJ29" s="68">
        <f t="shared" si="97"/>
        <v>65.7016984468212</v>
      </c>
      <c r="BK29" s="31">
        <f t="shared" si="98"/>
        <v>70.6106886481967</v>
      </c>
      <c r="BL29" s="32">
        <f t="shared" si="99"/>
        <v>52.200930454837</v>
      </c>
      <c r="BM29" s="31">
        <f t="shared" si="100"/>
        <v>66.1725617717623</v>
      </c>
      <c r="BO29">
        <f t="shared" si="101"/>
        <v>0</v>
      </c>
      <c r="BP29">
        <f t="shared" si="102"/>
        <v>0</v>
      </c>
    </row>
    <row r="30" spans="1:68">
      <c r="A30" t="s">
        <v>486</v>
      </c>
      <c r="B30" s="10">
        <f>Gcomp</f>
        <v>0.9</v>
      </c>
      <c r="C30" s="16"/>
      <c r="E30" t="s">
        <v>487</v>
      </c>
      <c r="N30" s="7">
        <v>12</v>
      </c>
      <c r="O30" s="18">
        <f t="shared" si="62"/>
        <v>13.1825673855641</v>
      </c>
      <c r="P30" s="86" t="str">
        <f t="shared" si="50"/>
        <v>163,636363636364</v>
      </c>
      <c r="Q30" s="4" t="str">
        <f t="shared" si="51"/>
        <v>1+0,506006920106329i</v>
      </c>
      <c r="R30" s="4">
        <f t="shared" si="63"/>
        <v>1.12073324354884</v>
      </c>
      <c r="S30" s="4">
        <f t="shared" si="64"/>
        <v>0.468441589448788</v>
      </c>
      <c r="T30" s="4" t="str">
        <f t="shared" si="52"/>
        <v>1+0,00129875109493958i</v>
      </c>
      <c r="U30" s="4">
        <f t="shared" si="65"/>
        <v>1.00000084337685</v>
      </c>
      <c r="V30" s="4">
        <f t="shared" si="66"/>
        <v>0.00129875036471561</v>
      </c>
      <c r="W30" t="str">
        <f t="shared" si="53"/>
        <v>1-0,00124242770561822i</v>
      </c>
      <c r="X30" s="4">
        <f t="shared" si="67"/>
        <v>1.000000771813</v>
      </c>
      <c r="Y30" s="4">
        <f t="shared" si="68"/>
        <v>-0.00124242706633733</v>
      </c>
      <c r="Z30" t="str">
        <f t="shared" si="54"/>
        <v>0,999999998581387+0,000257360024735202i</v>
      </c>
      <c r="AA30" s="4">
        <f t="shared" si="69"/>
        <v>1.00000003169848</v>
      </c>
      <c r="AB30" s="4">
        <f t="shared" si="70"/>
        <v>0.000257360019418286</v>
      </c>
      <c r="AC30" s="67" t="str">
        <f t="shared" si="71"/>
        <v>130,266219337888-65,9485054109192i</v>
      </c>
      <c r="AD30" s="68">
        <f t="shared" si="72"/>
        <v>43.2875650667913</v>
      </c>
      <c r="AE30" s="31">
        <f t="shared" si="73"/>
        <v>-26.8512445794584</v>
      </c>
      <c r="AF30" s="32" t="str">
        <f t="shared" si="74"/>
        <v>748,315388573934</v>
      </c>
      <c r="AG30" s="32" t="str">
        <f t="shared" si="55"/>
        <v>1+0,412301934901453i</v>
      </c>
      <c r="AH30" s="32">
        <f t="shared" si="75"/>
        <v>1.08166209396626</v>
      </c>
      <c r="AI30" s="32">
        <f t="shared" si="76"/>
        <v>0.391066303505404</v>
      </c>
      <c r="AJ30" s="32" t="str">
        <f t="shared" si="56"/>
        <v>1+0,00129875109493958i</v>
      </c>
      <c r="AK30" s="32">
        <f t="shared" si="77"/>
        <v>1.00000084337685</v>
      </c>
      <c r="AL30" s="32">
        <f t="shared" si="78"/>
        <v>0.00129875036471561</v>
      </c>
      <c r="AM30" s="32" t="str">
        <f t="shared" si="57"/>
        <v>1-0,000221368514393286i</v>
      </c>
      <c r="AN30" s="32">
        <f t="shared" si="79"/>
        <v>1.00000002450201</v>
      </c>
      <c r="AO30" s="32">
        <f t="shared" si="80"/>
        <v>-0.000221368510777304</v>
      </c>
      <c r="AP30" s="30" t="str">
        <f t="shared" si="81"/>
        <v>639,873985436651-263,015060324231i</v>
      </c>
      <c r="AQ30" s="32">
        <f t="shared" si="82"/>
        <v>56.7998688547159</v>
      </c>
      <c r="AR30" s="31">
        <f t="shared" si="83"/>
        <v>-22.3447192674871</v>
      </c>
      <c r="AS30" t="str">
        <f t="shared" si="58"/>
        <v>-0,0000504684572142411</v>
      </c>
      <c r="AT30" t="str">
        <f t="shared" si="59"/>
        <v>0,0000186115670301609i</v>
      </c>
      <c r="AU30">
        <f t="shared" si="84"/>
        <v>1.86115670301609e-5</v>
      </c>
      <c r="AV30">
        <f t="shared" si="85"/>
        <v>1.5707963267949</v>
      </c>
      <c r="AW30" t="str">
        <f t="shared" si="60"/>
        <v>1+0,000952878094948255i</v>
      </c>
      <c r="AX30">
        <f t="shared" si="86"/>
        <v>1.00000045398823</v>
      </c>
      <c r="AY30">
        <f t="shared" si="87"/>
        <v>0.000952877806551388</v>
      </c>
      <c r="AZ30" t="str">
        <f t="shared" si="61"/>
        <v>1+0,0455556825393346i</v>
      </c>
      <c r="BA30">
        <f t="shared" si="88"/>
        <v>1.00103712229449</v>
      </c>
      <c r="BB30">
        <f t="shared" si="89"/>
        <v>0.0455242075129278</v>
      </c>
      <c r="BC30" s="30" t="str">
        <f t="shared" si="90"/>
        <v>-0,12094804699699+2,71178682010959i</v>
      </c>
      <c r="BD30" s="32">
        <f t="shared" si="91"/>
        <v>8.67374147991866</v>
      </c>
      <c r="BE30" s="31">
        <f t="shared" si="92"/>
        <v>92.5537490794615</v>
      </c>
      <c r="BF30" s="30" t="str">
        <f t="shared" si="93"/>
        <v>163,082842960658+361,230559637811i</v>
      </c>
      <c r="BG30" s="68">
        <f t="shared" si="94"/>
        <v>51.96130654671</v>
      </c>
      <c r="BH30" s="31">
        <f t="shared" si="95"/>
        <v>65.702504500003</v>
      </c>
      <c r="BI30" s="30" t="str">
        <f t="shared" si="96"/>
        <v>635,849265214835+1767,01299811512i</v>
      </c>
      <c r="BJ30" s="68">
        <f t="shared" si="97"/>
        <v>65.4736103346346</v>
      </c>
      <c r="BK30" s="31">
        <f t="shared" si="98"/>
        <v>70.2090298119744</v>
      </c>
      <c r="BL30" s="32">
        <f t="shared" si="99"/>
        <v>51.96130654671</v>
      </c>
      <c r="BM30" s="31">
        <f t="shared" si="100"/>
        <v>65.702504500003</v>
      </c>
      <c r="BO30">
        <f t="shared" si="101"/>
        <v>0</v>
      </c>
      <c r="BP30">
        <f t="shared" si="102"/>
        <v>0</v>
      </c>
    </row>
    <row r="31" spans="1:68">
      <c r="A31" t="s">
        <v>436</v>
      </c>
      <c r="B31">
        <v>1</v>
      </c>
      <c r="E31" t="s">
        <v>488</v>
      </c>
      <c r="N31" s="7">
        <v>13</v>
      </c>
      <c r="O31" s="18">
        <f t="shared" si="62"/>
        <v>13.4896288259165</v>
      </c>
      <c r="P31" s="86" t="str">
        <f t="shared" si="50"/>
        <v>163,636363636364</v>
      </c>
      <c r="Q31" s="4" t="str">
        <f t="shared" si="51"/>
        <v>1+0,517793335390372i</v>
      </c>
      <c r="R31" s="4">
        <f t="shared" si="63"/>
        <v>1.1261038753928</v>
      </c>
      <c r="S31" s="4">
        <f t="shared" si="64"/>
        <v>0.477780739319623</v>
      </c>
      <c r="T31" s="4" t="str">
        <f t="shared" si="52"/>
        <v>1+0,00132900289416862i</v>
      </c>
      <c r="U31" s="4">
        <f t="shared" si="65"/>
        <v>1.00000088312396</v>
      </c>
      <c r="V31" s="4">
        <f t="shared" si="66"/>
        <v>0.00132900211171957</v>
      </c>
      <c r="W31" t="str">
        <f t="shared" si="53"/>
        <v>1-0,00127136756457457i</v>
      </c>
      <c r="X31" s="4">
        <f t="shared" si="67"/>
        <v>1.00000080818742</v>
      </c>
      <c r="Y31" s="4">
        <f t="shared" si="68"/>
        <v>-0.00127136687957278</v>
      </c>
      <c r="Z31" t="str">
        <f t="shared" si="54"/>
        <v>0,99999999851453+0,000263354709804733i</v>
      </c>
      <c r="AA31" s="4">
        <f t="shared" si="69"/>
        <v>1.00000003319238</v>
      </c>
      <c r="AB31" s="4">
        <f t="shared" si="70"/>
        <v>0.000263354704107555</v>
      </c>
      <c r="AC31" s="67" t="str">
        <f t="shared" si="71"/>
        <v>129,02603786518-66,842485740317i</v>
      </c>
      <c r="AD31" s="68">
        <f t="shared" si="72"/>
        <v>43.2460417398652</v>
      </c>
      <c r="AE31" s="31">
        <f t="shared" si="73"/>
        <v>-27.3866067531616</v>
      </c>
      <c r="AF31" s="32" t="str">
        <f t="shared" si="74"/>
        <v>748,315388573934</v>
      </c>
      <c r="AG31" s="32" t="str">
        <f t="shared" si="55"/>
        <v>1+0,421905680688451i</v>
      </c>
      <c r="AH31" s="32">
        <f t="shared" si="75"/>
        <v>1.08535911264299</v>
      </c>
      <c r="AI31" s="32">
        <f t="shared" si="76"/>
        <v>0.399246814491121</v>
      </c>
      <c r="AJ31" s="32" t="str">
        <f t="shared" si="56"/>
        <v>1+0,00132900289416862i</v>
      </c>
      <c r="AK31" s="32">
        <f t="shared" si="77"/>
        <v>1.00000088312396</v>
      </c>
      <c r="AL31" s="32">
        <f t="shared" si="78"/>
        <v>0.00132900211171957</v>
      </c>
      <c r="AM31" s="32" t="str">
        <f t="shared" si="57"/>
        <v>1-0,00022652484949025i</v>
      </c>
      <c r="AN31" s="32">
        <f t="shared" si="79"/>
        <v>1.00000002565675</v>
      </c>
      <c r="AO31" s="32">
        <f t="shared" si="80"/>
        <v>-0.000226524845615655</v>
      </c>
      <c r="AP31" s="30" t="str">
        <f t="shared" si="81"/>
        <v>635,535558633048-267,311061180393i</v>
      </c>
      <c r="AQ31" s="32">
        <f t="shared" si="82"/>
        <v>56.7702322804773</v>
      </c>
      <c r="AR31" s="31">
        <f t="shared" si="83"/>
        <v>-22.8119901600268</v>
      </c>
      <c r="AS31" t="str">
        <f t="shared" si="58"/>
        <v>-0,0000504684572142411</v>
      </c>
      <c r="AT31" t="str">
        <f t="shared" si="59"/>
        <v>0,0000190450861173271i</v>
      </c>
      <c r="AU31">
        <f t="shared" si="84"/>
        <v>1.90450861173271e-5</v>
      </c>
      <c r="AV31">
        <f t="shared" si="85"/>
        <v>1.5707963267949</v>
      </c>
      <c r="AW31" t="str">
        <f t="shared" si="60"/>
        <v>1+0,00097507347705838i</v>
      </c>
      <c r="AX31">
        <f t="shared" si="86"/>
        <v>1.00000047538403</v>
      </c>
      <c r="AY31">
        <f t="shared" si="87"/>
        <v>0.000975073168035577</v>
      </c>
      <c r="AZ31" t="str">
        <f t="shared" si="61"/>
        <v>1+0,0466168107010676i</v>
      </c>
      <c r="BA31">
        <f t="shared" si="88"/>
        <v>1.00108597385037</v>
      </c>
      <c r="BB31">
        <f t="shared" si="89"/>
        <v>0.0465830865782907</v>
      </c>
      <c r="BC31" s="30" t="str">
        <f t="shared" si="90"/>
        <v>-0,120948041821432+2,65006432377329i</v>
      </c>
      <c r="BD31" s="32">
        <f t="shared" si="91"/>
        <v>8.47416516334276</v>
      </c>
      <c r="BE31" s="31">
        <f t="shared" si="92"/>
        <v>92.6131466803837</v>
      </c>
      <c r="BF31" s="30" t="str">
        <f t="shared" si="93"/>
        <v>161,531440148968+350,011767545104i</v>
      </c>
      <c r="BG31" s="68">
        <f t="shared" si="94"/>
        <v>51.720206903208</v>
      </c>
      <c r="BH31" s="31">
        <f t="shared" si="95"/>
        <v>65.2265399272221</v>
      </c>
      <c r="BI31" s="30" t="str">
        <f t="shared" si="96"/>
        <v>631,524725259582+1716,54085982975i</v>
      </c>
      <c r="BJ31" s="68">
        <f t="shared" si="97"/>
        <v>65.2443974438201</v>
      </c>
      <c r="BK31" s="31">
        <f t="shared" si="98"/>
        <v>69.8011565203569</v>
      </c>
      <c r="BL31" s="32">
        <f t="shared" si="99"/>
        <v>51.720206903208</v>
      </c>
      <c r="BM31" s="31">
        <f t="shared" si="100"/>
        <v>65.2265399272221</v>
      </c>
      <c r="BO31">
        <f t="shared" si="101"/>
        <v>0</v>
      </c>
      <c r="BP31">
        <f t="shared" si="102"/>
        <v>0</v>
      </c>
    </row>
    <row r="32" ht="15.75" spans="1:68">
      <c r="A32" s="87" t="s">
        <v>489</v>
      </c>
      <c r="N32" s="7">
        <v>14</v>
      </c>
      <c r="O32" s="18">
        <f t="shared" si="62"/>
        <v>13.8038426460289</v>
      </c>
      <c r="P32" s="86" t="str">
        <f t="shared" si="50"/>
        <v>163,636363636364</v>
      </c>
      <c r="Q32" s="4" t="str">
        <f t="shared" si="51"/>
        <v>1+0,529854291554649i</v>
      </c>
      <c r="R32" s="4">
        <f t="shared" si="63"/>
        <v>1.13170030055615</v>
      </c>
      <c r="S32" s="4">
        <f t="shared" si="64"/>
        <v>0.487244817907863</v>
      </c>
      <c r="T32" s="4" t="str">
        <f t="shared" si="52"/>
        <v>1+0,0013599593483236i</v>
      </c>
      <c r="U32" s="4">
        <f t="shared" si="65"/>
        <v>1.00000092474429</v>
      </c>
      <c r="V32" s="4">
        <f t="shared" si="66"/>
        <v>0.00135995850991438</v>
      </c>
      <c r="W32" t="str">
        <f t="shared" si="53"/>
        <v>1-0,00130098151944222i</v>
      </c>
      <c r="X32" s="4">
        <f t="shared" si="67"/>
        <v>1.0000008462761</v>
      </c>
      <c r="Y32" s="4">
        <f t="shared" si="68"/>
        <v>-0.00130098078544961</v>
      </c>
      <c r="Z32" t="str">
        <f t="shared" si="54"/>
        <v>0,999999998444522+0,000269489029027317i</v>
      </c>
      <c r="AA32" s="4">
        <f t="shared" si="69"/>
        <v>1.00000003475669</v>
      </c>
      <c r="AB32" s="4">
        <f t="shared" si="70"/>
        <v>0.000269489022922681</v>
      </c>
      <c r="AC32" s="67" t="str">
        <f t="shared" si="71"/>
        <v>127,752455944756-67,7246344019144i</v>
      </c>
      <c r="AD32" s="68">
        <f t="shared" si="72"/>
        <v>43.2029828553449</v>
      </c>
      <c r="AE32" s="31">
        <f t="shared" si="73"/>
        <v>-27.9291330646823</v>
      </c>
      <c r="AF32" s="32" t="str">
        <f t="shared" si="74"/>
        <v>748,315388573934</v>
      </c>
      <c r="AG32" s="32" t="str">
        <f t="shared" si="55"/>
        <v>1+0,431733126451936i</v>
      </c>
      <c r="AH32" s="32">
        <f t="shared" si="75"/>
        <v>1.08921691709042</v>
      </c>
      <c r="AI32" s="32">
        <f t="shared" si="76"/>
        <v>0.407559815302472</v>
      </c>
      <c r="AJ32" s="32" t="str">
        <f t="shared" si="56"/>
        <v>1+0,0013599593483236i</v>
      </c>
      <c r="AK32" s="32">
        <f t="shared" si="77"/>
        <v>1.00000092474429</v>
      </c>
      <c r="AL32" s="32">
        <f t="shared" si="78"/>
        <v>0.00135995850991438</v>
      </c>
      <c r="AM32" s="32" t="str">
        <f t="shared" si="57"/>
        <v>1-0,000231801291060827i</v>
      </c>
      <c r="AN32" s="32">
        <f t="shared" si="79"/>
        <v>1.00000002686592</v>
      </c>
      <c r="AO32" s="32">
        <f t="shared" si="80"/>
        <v>-0.000231801286909124</v>
      </c>
      <c r="AP32" s="30" t="str">
        <f t="shared" si="81"/>
        <v>631,055468622228-271,603332397873i</v>
      </c>
      <c r="AQ32" s="32">
        <f t="shared" si="82"/>
        <v>56.7394142323736</v>
      </c>
      <c r="AR32" s="31">
        <f t="shared" si="83"/>
        <v>-23.2868186684576</v>
      </c>
      <c r="AS32" t="str">
        <f t="shared" si="58"/>
        <v>-0,0000504684572142411</v>
      </c>
      <c r="AT32" t="str">
        <f t="shared" si="59"/>
        <v>0,0000194887031612444i</v>
      </c>
      <c r="AU32">
        <f t="shared" si="84"/>
        <v>1.94887031612444e-5</v>
      </c>
      <c r="AV32">
        <f t="shared" si="85"/>
        <v>1.5707963267949</v>
      </c>
      <c r="AW32" t="str">
        <f t="shared" si="60"/>
        <v>1+0,000997785856032675i</v>
      </c>
      <c r="AX32">
        <f t="shared" si="86"/>
        <v>1.00000049778818</v>
      </c>
      <c r="AY32">
        <f t="shared" si="87"/>
        <v>0.000997785524908785</v>
      </c>
      <c r="AZ32" t="str">
        <f t="shared" si="61"/>
        <v>1+0,0477026557128812i</v>
      </c>
      <c r="BA32">
        <f t="shared" si="88"/>
        <v>1.00113712515422</v>
      </c>
      <c r="BB32">
        <f t="shared" si="89"/>
        <v>0.0476665218806739</v>
      </c>
      <c r="BC32" s="30" t="str">
        <f t="shared" si="90"/>
        <v>-0,120948036401958+2,58974692661869i</v>
      </c>
      <c r="BD32" s="32">
        <f t="shared" si="91"/>
        <v>8.27460877001593</v>
      </c>
      <c r="BE32" s="31">
        <f t="shared" si="92"/>
        <v>92.6739216283941</v>
      </c>
      <c r="BF32" s="30" t="str">
        <f t="shared" si="93"/>
        <v>159,938255106686+339,037691697874i</v>
      </c>
      <c r="BG32" s="68">
        <f t="shared" si="94"/>
        <v>51.4775916253608</v>
      </c>
      <c r="BH32" s="31">
        <f t="shared" si="95"/>
        <v>64.7447885637118</v>
      </c>
      <c r="BI32" s="30" t="str">
        <f t="shared" si="96"/>
        <v>627,05897554621+1667,12385012408i</v>
      </c>
      <c r="BJ32" s="68">
        <f t="shared" si="97"/>
        <v>65.0140230023895</v>
      </c>
      <c r="BK32" s="31">
        <f t="shared" si="98"/>
        <v>69.3871029599365</v>
      </c>
      <c r="BL32" s="32">
        <f t="shared" si="99"/>
        <v>51.4775916253608</v>
      </c>
      <c r="BM32" s="31">
        <f t="shared" si="100"/>
        <v>64.7447885637118</v>
      </c>
      <c r="BO32">
        <f t="shared" si="101"/>
        <v>0</v>
      </c>
      <c r="BP32">
        <f t="shared" si="102"/>
        <v>0</v>
      </c>
    </row>
    <row r="33" spans="1:68">
      <c r="N33" s="7">
        <v>15</v>
      </c>
      <c r="O33" s="18">
        <f t="shared" si="62"/>
        <v>14.1253754462275</v>
      </c>
      <c r="P33" s="86" t="str">
        <f t="shared" si="50"/>
        <v>163,636363636364</v>
      </c>
      <c r="Q33" s="4" t="str">
        <f t="shared" si="51"/>
        <v>1+0,542196183477752i</v>
      </c>
      <c r="R33" s="4">
        <f t="shared" si="63"/>
        <v>1.13753096721709</v>
      </c>
      <c r="S33" s="4">
        <f t="shared" si="64"/>
        <v>0.496832060847538</v>
      </c>
      <c r="T33" s="4" t="str">
        <f t="shared" si="52"/>
        <v>1+0,00139163687092623i</v>
      </c>
      <c r="U33" s="4">
        <f t="shared" si="65"/>
        <v>1.00000096832612</v>
      </c>
      <c r="V33" s="4">
        <f t="shared" si="66"/>
        <v>0.00139163597255462</v>
      </c>
      <c r="W33" t="str">
        <f t="shared" si="53"/>
        <v>1-0,00133128527193198i</v>
      </c>
      <c r="X33" s="4">
        <f t="shared" si="67"/>
        <v>1.00000088615985</v>
      </c>
      <c r="Y33" s="4">
        <f t="shared" si="68"/>
        <v>-0.00133128448544477</v>
      </c>
      <c r="Z33" t="str">
        <f t="shared" si="54"/>
        <v>0,999999998371214+0,000275766234900196i</v>
      </c>
      <c r="AA33" s="4">
        <f t="shared" si="69"/>
        <v>1.00000003639472</v>
      </c>
      <c r="AB33" s="4">
        <f t="shared" si="70"/>
        <v>0.000275766228358961</v>
      </c>
      <c r="AC33" s="67" t="str">
        <f t="shared" si="71"/>
        <v>126,445510875285-68,5935231632203i</v>
      </c>
      <c r="AD33" s="68">
        <f t="shared" si="72"/>
        <v>43.1583476232434</v>
      </c>
      <c r="AE33" s="31">
        <f t="shared" si="73"/>
        <v>-28.4787225688693</v>
      </c>
      <c r="AF33" s="32" t="str">
        <f t="shared" si="74"/>
        <v>748,315388573934</v>
      </c>
      <c r="AG33" s="32" t="str">
        <f t="shared" si="55"/>
        <v>1+0,441789482833724i</v>
      </c>
      <c r="AH33" s="32">
        <f t="shared" si="75"/>
        <v>1.09324194355252</v>
      </c>
      <c r="AI33" s="32">
        <f t="shared" si="76"/>
        <v>0.416005116726353</v>
      </c>
      <c r="AJ33" s="32" t="str">
        <f t="shared" si="56"/>
        <v>1+0,00139163687092623i</v>
      </c>
      <c r="AK33" s="32">
        <f t="shared" si="77"/>
        <v>1.00000096832612</v>
      </c>
      <c r="AL33" s="32">
        <f t="shared" si="78"/>
        <v>0.00139163597255462</v>
      </c>
      <c r="AM33" s="32" t="str">
        <f t="shared" si="57"/>
        <v>1-0,000237200636744174i</v>
      </c>
      <c r="AN33" s="32">
        <f t="shared" si="79"/>
        <v>1.00000002813207</v>
      </c>
      <c r="AO33" s="32">
        <f t="shared" si="80"/>
        <v>-0.000237200632295544</v>
      </c>
      <c r="AP33" s="30" t="str">
        <f t="shared" si="81"/>
        <v>626,431646884972-275,887030908824i</v>
      </c>
      <c r="AQ33" s="32">
        <f t="shared" si="82"/>
        <v>56.7073764690728</v>
      </c>
      <c r="AR33" s="31">
        <f t="shared" si="83"/>
        <v>-23.7691931715496</v>
      </c>
      <c r="AS33" t="str">
        <f t="shared" si="58"/>
        <v>-0,0000504684572142411</v>
      </c>
      <c r="AT33" t="str">
        <f t="shared" si="59"/>
        <v>0,000019942653373541i</v>
      </c>
      <c r="AU33">
        <f t="shared" si="84"/>
        <v>1.9942653373541e-5</v>
      </c>
      <c r="AV33">
        <f t="shared" si="85"/>
        <v>1.5707963267949</v>
      </c>
      <c r="AW33" t="str">
        <f t="shared" si="60"/>
        <v>1+0,00102102727427508i</v>
      </c>
      <c r="AX33">
        <f t="shared" si="86"/>
        <v>1.00000052124821</v>
      </c>
      <c r="AY33">
        <f t="shared" si="87"/>
        <v>0.00102102691946945</v>
      </c>
      <c r="AZ33" t="str">
        <f t="shared" si="61"/>
        <v>1+0,0488137933041725i</v>
      </c>
      <c r="BA33">
        <f t="shared" si="88"/>
        <v>1.00119068434377</v>
      </c>
      <c r="BB33">
        <f t="shared" si="89"/>
        <v>0.0487750776918606</v>
      </c>
      <c r="BC33" s="30" t="str">
        <f t="shared" si="90"/>
        <v>-0,120948030727072+2,53080264756346i</v>
      </c>
      <c r="BD33" s="32">
        <f t="shared" si="91"/>
        <v>8.07507323462474</v>
      </c>
      <c r="BE33" s="31">
        <f t="shared" si="92"/>
        <v>92.7361055639115</v>
      </c>
      <c r="BF33" s="30" t="str">
        <f t="shared" si="93"/>
        <v>158,303334492539+328,304885242909i</v>
      </c>
      <c r="BG33" s="68">
        <f t="shared" si="94"/>
        <v>51.2334208578681</v>
      </c>
      <c r="BH33" s="31">
        <f t="shared" si="95"/>
        <v>64.2573829950422</v>
      </c>
      <c r="BI33" s="30" t="str">
        <f t="shared" si="96"/>
        <v>622,44995417662+1618,74286354559i</v>
      </c>
      <c r="BJ33" s="68">
        <f t="shared" si="97"/>
        <v>64.7824497036976</v>
      </c>
      <c r="BK33" s="31">
        <f t="shared" si="98"/>
        <v>68.9669123923619</v>
      </c>
      <c r="BL33" s="32">
        <f t="shared" si="99"/>
        <v>51.2334208578681</v>
      </c>
      <c r="BM33" s="31">
        <f t="shared" si="100"/>
        <v>64.2573829950422</v>
      </c>
      <c r="BO33">
        <f t="shared" si="101"/>
        <v>0</v>
      </c>
      <c r="BP33">
        <f t="shared" si="102"/>
        <v>0</v>
      </c>
    </row>
    <row r="34" spans="1:68">
      <c r="A34" t="s">
        <v>450</v>
      </c>
      <c r="B34" s="88">
        <f>(Gcomp*(VOUT/IOUT)*(1-DC_VIN_Var))/(R_cs*Acs*(1+DC_VIN_Var))</f>
        <v>163.636363636364</v>
      </c>
      <c r="C34" t="s">
        <v>244</v>
      </c>
      <c r="E34" t="s">
        <v>490</v>
      </c>
      <c r="N34" s="7">
        <v>16</v>
      </c>
      <c r="O34" s="18">
        <f t="shared" si="62"/>
        <v>14.4543977074593</v>
      </c>
      <c r="P34" s="86" t="str">
        <f t="shared" si="50"/>
        <v>163,636363636364</v>
      </c>
      <c r="Q34" s="4" t="str">
        <f t="shared" si="51"/>
        <v>1+0,554825554994156i</v>
      </c>
      <c r="R34" s="4">
        <f t="shared" si="63"/>
        <v>1.14360456298258</v>
      </c>
      <c r="S34" s="4">
        <f t="shared" si="64"/>
        <v>0.506540500903988</v>
      </c>
      <c r="T34" s="4" t="str">
        <f t="shared" si="52"/>
        <v>1+0,00142405225781833i</v>
      </c>
      <c r="U34" s="4">
        <f t="shared" si="65"/>
        <v>1.0000010139619</v>
      </c>
      <c r="V34" s="4">
        <f t="shared" si="66"/>
        <v>0.00142405129519586</v>
      </c>
      <c r="W34" t="str">
        <f t="shared" si="53"/>
        <v>1-0,00136229488949458i</v>
      </c>
      <c r="X34" s="4">
        <f t="shared" si="67"/>
        <v>1.00000092792325</v>
      </c>
      <c r="Y34" s="4">
        <f t="shared" si="68"/>
        <v>-0.00136229404675839</v>
      </c>
      <c r="Z34" t="str">
        <f t="shared" si="54"/>
        <v>0,999999998294452+0,00028218965568102i</v>
      </c>
      <c r="AA34" s="4">
        <f t="shared" si="69"/>
        <v>1.00000003810995</v>
      </c>
      <c r="AB34" s="4">
        <f t="shared" si="70"/>
        <v>0.00028218964867196</v>
      </c>
      <c r="AC34" s="67" t="str">
        <f t="shared" si="71"/>
        <v>125,105314502649-69,4476963764314i</v>
      </c>
      <c r="AD34" s="68">
        <f t="shared" si="72"/>
        <v>43.1120953443841</v>
      </c>
      <c r="AE34" s="31">
        <f t="shared" si="73"/>
        <v>-29.0352627004426</v>
      </c>
      <c r="AF34" s="32" t="str">
        <f t="shared" si="74"/>
        <v>748,315388573934</v>
      </c>
      <c r="AG34" s="32" t="str">
        <f t="shared" si="55"/>
        <v>1+0,45208008184709i</v>
      </c>
      <c r="AH34" s="32">
        <f t="shared" si="75"/>
        <v>1.09744084141373</v>
      </c>
      <c r="AI34" s="32">
        <f t="shared" si="76"/>
        <v>0.424582376762625</v>
      </c>
      <c r="AJ34" s="32" t="str">
        <f t="shared" si="56"/>
        <v>1+0,00142405225781833i</v>
      </c>
      <c r="AK34" s="32">
        <f t="shared" si="77"/>
        <v>1.0000010139619</v>
      </c>
      <c r="AL34" s="32">
        <f t="shared" si="78"/>
        <v>0.00142405129519586</v>
      </c>
      <c r="AM34" s="32" t="str">
        <f t="shared" si="57"/>
        <v>1-0,000242725749344847i</v>
      </c>
      <c r="AN34" s="32">
        <f t="shared" si="79"/>
        <v>1.00000002945789</v>
      </c>
      <c r="AO34" s="32">
        <f t="shared" si="80"/>
        <v>-0.000242725744578054</v>
      </c>
      <c r="AP34" s="30" t="str">
        <f t="shared" si="81"/>
        <v>621,662204562048-280,157095514432i</v>
      </c>
      <c r="AQ34" s="32">
        <f t="shared" si="82"/>
        <v>56.6740802186585</v>
      </c>
      <c r="AR34" s="31">
        <f t="shared" si="83"/>
        <v>-24.2590932758505</v>
      </c>
      <c r="AS34" t="str">
        <f t="shared" si="58"/>
        <v>-0,0000504684572142411</v>
      </c>
      <c r="AT34" t="str">
        <f t="shared" si="59"/>
        <v>0,0000204071774446288i</v>
      </c>
      <c r="AU34">
        <f t="shared" si="84"/>
        <v>2.04071774446288e-5</v>
      </c>
      <c r="AV34">
        <f t="shared" si="85"/>
        <v>1.5707963267949</v>
      </c>
      <c r="AW34" t="str">
        <f t="shared" si="60"/>
        <v>1+0,00104481005469322i</v>
      </c>
      <c r="AX34">
        <f t="shared" si="86"/>
        <v>1.00000054581388</v>
      </c>
      <c r="AY34">
        <f t="shared" si="87"/>
        <v>0.00104480967451215</v>
      </c>
      <c r="AZ34" t="str">
        <f t="shared" si="61"/>
        <v>1+0,0499508126148012i</v>
      </c>
      <c r="BA34">
        <f t="shared" si="88"/>
        <v>1.00124676462942</v>
      </c>
      <c r="BB34">
        <f t="shared" si="89"/>
        <v>0.0499093308782242</v>
      </c>
      <c r="BC34" s="30" t="str">
        <f t="shared" si="90"/>
        <v>-0,120948024784737+2,47320023357053i</v>
      </c>
      <c r="BD34" s="32">
        <f t="shared" si="91"/>
        <v>7.87555953549551</v>
      </c>
      <c r="BE34" s="31">
        <f t="shared" si="92"/>
        <v>92.7997308329002</v>
      </c>
      <c r="BF34" s="30" t="str">
        <f t="shared" si="93"/>
        <v>156,626818219957+317,810054751446i</v>
      </c>
      <c r="BG34" s="68">
        <f t="shared" si="94"/>
        <v>50.9876548798796</v>
      </c>
      <c r="BH34" s="31">
        <f t="shared" si="95"/>
        <v>63.7644681324576</v>
      </c>
      <c r="BI34" s="30" t="str">
        <f t="shared" si="96"/>
        <v>617,69577833763+1571,37955685673i</v>
      </c>
      <c r="BJ34" s="68">
        <f t="shared" si="97"/>
        <v>64.549639754154</v>
      </c>
      <c r="BK34" s="31">
        <f t="shared" si="98"/>
        <v>68.5406375570498</v>
      </c>
      <c r="BL34" s="32">
        <f t="shared" si="99"/>
        <v>50.9876548798796</v>
      </c>
      <c r="BM34" s="31">
        <f t="shared" si="100"/>
        <v>63.7644681324576</v>
      </c>
      <c r="BO34">
        <f t="shared" si="101"/>
        <v>0</v>
      </c>
      <c r="BP34">
        <f t="shared" si="102"/>
        <v>0</v>
      </c>
    </row>
    <row r="35" spans="1:68">
      <c r="A35" t="s">
        <v>442</v>
      </c>
      <c r="B35" s="89">
        <f>(1+DC_VIN_Var)/(Cout*(VOUT/IOUT))</f>
        <v>163.690476190476</v>
      </c>
      <c r="C35" t="s">
        <v>324</v>
      </c>
      <c r="E35" t="s">
        <v>491</v>
      </c>
      <c r="N35" s="7">
        <v>17</v>
      </c>
      <c r="O35" s="18">
        <f t="shared" si="62"/>
        <v>14.7910838816821</v>
      </c>
      <c r="P35" s="86" t="str">
        <f t="shared" si="50"/>
        <v>163,636363636364</v>
      </c>
      <c r="Q35" s="4" t="str">
        <f t="shared" si="51"/>
        <v>1+0,5677491023638i</v>
      </c>
      <c r="R35" s="4">
        <f t="shared" si="63"/>
        <v>1.14993001666836</v>
      </c>
      <c r="S35" s="4">
        <f t="shared" si="64"/>
        <v>0.516367964406689</v>
      </c>
      <c r="T35" s="4" t="str">
        <f t="shared" si="52"/>
        <v>1+0,00145722269606709i</v>
      </c>
      <c r="U35" s="4">
        <f t="shared" si="65"/>
        <v>1.00000106174843</v>
      </c>
      <c r="V35" s="4">
        <f t="shared" si="66"/>
        <v>0.00145722166459858</v>
      </c>
      <c r="W35" t="str">
        <f t="shared" si="53"/>
        <v>1-0,00139402681383969i</v>
      </c>
      <c r="X35" s="4">
        <f t="shared" si="67"/>
        <v>1.00000097165491</v>
      </c>
      <c r="Y35" s="4">
        <f t="shared" si="68"/>
        <v>-0.00139402591083164</v>
      </c>
      <c r="Z35" t="str">
        <f t="shared" si="54"/>
        <v>0,999999998214072+0,000288762697152507i</v>
      </c>
      <c r="AA35" s="4">
        <f t="shared" si="69"/>
        <v>1.00000003990602</v>
      </c>
      <c r="AB35" s="4">
        <f t="shared" si="70"/>
        <v>0.000288762689642164</v>
      </c>
      <c r="AC35" s="67" t="str">
        <f t="shared" si="71"/>
        <v>123,732056704492-70,2856751540145i</v>
      </c>
      <c r="AD35" s="68">
        <f t="shared" si="72"/>
        <v>43.0641855036327</v>
      </c>
      <c r="AE35" s="31">
        <f t="shared" si="73"/>
        <v>-29.5986290696882</v>
      </c>
      <c r="AF35" s="32" t="str">
        <f t="shared" si="74"/>
        <v>748,315388573934</v>
      </c>
      <c r="AG35" s="32" t="str">
        <f t="shared" si="55"/>
        <v>1+0,462610379703837i</v>
      </c>
      <c r="AH35" s="32">
        <f t="shared" si="75"/>
        <v>1.10182047694247</v>
      </c>
      <c r="AI35" s="32">
        <f t="shared" si="76"/>
        <v>0.43329109395552</v>
      </c>
      <c r="AJ35" s="32" t="str">
        <f t="shared" si="56"/>
        <v>1+0,00145722269606709i</v>
      </c>
      <c r="AK35" s="32">
        <f t="shared" si="77"/>
        <v>1.00000106174843</v>
      </c>
      <c r="AL35" s="32">
        <f t="shared" si="78"/>
        <v>0.00145722166459858</v>
      </c>
      <c r="AM35" s="32" t="str">
        <f t="shared" si="57"/>
        <v>1-0,000248379558350677i</v>
      </c>
      <c r="AN35" s="32">
        <f t="shared" si="79"/>
        <v>1.0000000308462</v>
      </c>
      <c r="AO35" s="32">
        <f t="shared" si="80"/>
        <v>-0.000248379553242966</v>
      </c>
      <c r="AP35" s="30" t="str">
        <f t="shared" si="81"/>
        <v>616,745450404161-284,408251069758i</v>
      </c>
      <c r="AQ35" s="32">
        <f t="shared" si="82"/>
        <v>56.6394862291719</v>
      </c>
      <c r="AR35" s="31">
        <f t="shared" si="83"/>
        <v>-24.7564894331794</v>
      </c>
      <c r="AS35" t="str">
        <f t="shared" si="58"/>
        <v>-0,0000504684572142411</v>
      </c>
      <c r="AT35" t="str">
        <f t="shared" si="59"/>
        <v>0,0000208825216713185i</v>
      </c>
      <c r="AU35">
        <f t="shared" si="84"/>
        <v>2.08825216713185e-5</v>
      </c>
      <c r="AV35">
        <f t="shared" si="85"/>
        <v>1.5707963267949</v>
      </c>
      <c r="AW35" t="str">
        <f t="shared" si="60"/>
        <v>1+0,00106914680723204i</v>
      </c>
      <c r="AX35">
        <f t="shared" si="86"/>
        <v>1.00000057153728</v>
      </c>
      <c r="AY35">
        <f t="shared" si="87"/>
        <v>0.00106914639986069</v>
      </c>
      <c r="AZ35" t="str">
        <f t="shared" si="61"/>
        <v>1+0,0511143165074551i</v>
      </c>
      <c r="BA35">
        <f t="shared" si="88"/>
        <v>1.00130548453108</v>
      </c>
      <c r="BB35">
        <f t="shared" si="89"/>
        <v>0.0510698711551764</v>
      </c>
      <c r="BC35" s="30" t="str">
        <f t="shared" si="90"/>
        <v>-0,120948018562351+2,41690914307754i</v>
      </c>
      <c r="BD35" s="32">
        <f t="shared" si="91"/>
        <v>7.67606869661236</v>
      </c>
      <c r="BE35" s="31">
        <f t="shared" si="92"/>
        <v>92.8648305010749</v>
      </c>
      <c r="BF35" s="30" t="str">
        <f t="shared" si="93"/>
        <v>154,908943816063+307,55005228407i</v>
      </c>
      <c r="BG35" s="68">
        <f t="shared" si="94"/>
        <v>50.740254200245</v>
      </c>
      <c r="BH35" s="31">
        <f t="shared" si="95"/>
        <v>63.2662014313866</v>
      </c>
      <c r="BI35" s="30" t="str">
        <f t="shared" si="96"/>
        <v>612,794762193463+1525,01633246296i</v>
      </c>
      <c r="BJ35" s="68">
        <f t="shared" si="97"/>
        <v>64.3155549257842</v>
      </c>
      <c r="BK35" s="31">
        <f t="shared" si="98"/>
        <v>68.1083410678955</v>
      </c>
      <c r="BL35" s="32">
        <f t="shared" si="99"/>
        <v>50.740254200245</v>
      </c>
      <c r="BM35" s="31">
        <f t="shared" si="100"/>
        <v>63.2662014313866</v>
      </c>
      <c r="BO35">
        <f t="shared" si="101"/>
        <v>0</v>
      </c>
      <c r="BP35">
        <f t="shared" si="102"/>
        <v>0</v>
      </c>
    </row>
    <row r="36" spans="1:68">
      <c r="B36" s="90">
        <f>wp_lf/(2*PI())</f>
        <v>26.0521484227805</v>
      </c>
      <c r="C36" t="s">
        <v>111</v>
      </c>
      <c r="N36" s="7">
        <v>18</v>
      </c>
      <c r="O36" s="18">
        <f t="shared" si="62"/>
        <v>15.1356124843621</v>
      </c>
      <c r="P36" s="86" t="str">
        <f t="shared" si="50"/>
        <v>163,636363636364</v>
      </c>
      <c r="Q36" s="4" t="str">
        <f t="shared" si="51"/>
        <v>1+0,580973677822565i</v>
      </c>
      <c r="R36" s="4">
        <f t="shared" si="63"/>
        <v>1.15651649980564</v>
      </c>
      <c r="S36" s="4">
        <f t="shared" si="64"/>
        <v>0.526312068296853</v>
      </c>
      <c r="T36" s="4" t="str">
        <f t="shared" si="52"/>
        <v>1+0,00149116577307792i</v>
      </c>
      <c r="U36" s="4">
        <f t="shared" si="65"/>
        <v>1.00000111178706</v>
      </c>
      <c r="V36" s="4">
        <f t="shared" si="66"/>
        <v>0.00149116466783957</v>
      </c>
      <c r="W36" t="str">
        <f t="shared" si="53"/>
        <v>1-0,00142649786965362i</v>
      </c>
      <c r="X36" s="4">
        <f t="shared" si="67"/>
        <v>1.00000101744757</v>
      </c>
      <c r="Y36" s="4">
        <f t="shared" si="68"/>
        <v>-0.00142649690206312</v>
      </c>
      <c r="Z36" t="str">
        <f t="shared" si="54"/>
        <v>0,999999998129904+0,00029548884442825i</v>
      </c>
      <c r="AA36" s="4">
        <f t="shared" si="69"/>
        <v>1.00000004178673</v>
      </c>
      <c r="AB36" s="4">
        <f t="shared" si="70"/>
        <v>0.000295488836380772</v>
      </c>
      <c r="AC36" s="67" t="str">
        <f t="shared" si="71"/>
        <v>122,326008640728-71,1059619325119i</v>
      </c>
      <c r="AD36" s="68">
        <f t="shared" si="72"/>
        <v>43.0145778672464</v>
      </c>
      <c r="AE36" s="31">
        <f t="shared" si="73"/>
        <v>-30.1686852933791</v>
      </c>
      <c r="AF36" s="32" t="str">
        <f t="shared" si="74"/>
        <v>748,315388573934</v>
      </c>
      <c r="AG36" s="32" t="str">
        <f t="shared" si="55"/>
        <v>1+0,473385959707275i</v>
      </c>
      <c r="AH36" s="32">
        <f t="shared" si="75"/>
        <v>1.10638793686843</v>
      </c>
      <c r="AI36" s="32">
        <f t="shared" si="76"/>
        <v>0.442130600876094</v>
      </c>
      <c r="AJ36" s="32" t="str">
        <f t="shared" si="56"/>
        <v>1+0,00149116577307792i</v>
      </c>
      <c r="AK36" s="32">
        <f t="shared" si="77"/>
        <v>1.00000111178706</v>
      </c>
      <c r="AL36" s="32">
        <f t="shared" si="78"/>
        <v>0.00149116466783957</v>
      </c>
      <c r="AM36" s="32" t="str">
        <f t="shared" si="57"/>
        <v>1-0,000254165061486036i</v>
      </c>
      <c r="AN36" s="32">
        <f t="shared" si="79"/>
        <v>1.00000003229994</v>
      </c>
      <c r="AO36" s="32">
        <f t="shared" si="80"/>
        <v>-0.000254165056013025</v>
      </c>
      <c r="AP36" s="30" t="str">
        <f t="shared" si="81"/>
        <v>611,679909031229-288,635014102246i</v>
      </c>
      <c r="AQ36" s="32">
        <f t="shared" si="82"/>
        <v>56.6035548240074</v>
      </c>
      <c r="AR36" s="31">
        <f t="shared" si="83"/>
        <v>-25.2613425667663</v>
      </c>
      <c r="AS36" t="str">
        <f t="shared" si="58"/>
        <v>-0,0000504684572142411</v>
      </c>
      <c r="AT36" t="str">
        <f t="shared" si="59"/>
        <v>0,0000213689380874112i</v>
      </c>
      <c r="AU36">
        <f t="shared" si="84"/>
        <v>2.13689380874112e-5</v>
      </c>
      <c r="AV36">
        <f t="shared" si="85"/>
        <v>1.5707963267949</v>
      </c>
      <c r="AW36" t="str">
        <f t="shared" si="60"/>
        <v>1+0,00109405043555989i</v>
      </c>
      <c r="AX36">
        <f t="shared" si="86"/>
        <v>1.000000598473</v>
      </c>
      <c r="AY36">
        <f t="shared" si="87"/>
        <v>0.00109404999905364</v>
      </c>
      <c r="AZ36" t="str">
        <f t="shared" si="61"/>
        <v>1+0,0523049218872993i</v>
      </c>
      <c r="BA36">
        <f t="shared" si="88"/>
        <v>1.00136696812589</v>
      </c>
      <c r="BB36">
        <f t="shared" si="89"/>
        <v>0.0522573013448104</v>
      </c>
      <c r="BC36" s="30" t="str">
        <f t="shared" si="90"/>
        <v>-0,120948012046712+2,36189952980315i</v>
      </c>
      <c r="BD36" s="32">
        <f t="shared" si="91"/>
        <v>7.47660178972538</v>
      </c>
      <c r="BE36" s="31">
        <f t="shared" si="92"/>
        <v>92.9314383682789</v>
      </c>
      <c r="BF36" s="30" t="str">
        <f t="shared" si="93"/>
        <v>153,150050487896+297,521867031638i</v>
      </c>
      <c r="BG36" s="68">
        <f t="shared" si="94"/>
        <v>50.4911796569718</v>
      </c>
      <c r="BH36" s="31">
        <f t="shared" si="95"/>
        <v>62.7627530748997</v>
      </c>
      <c r="BI36" s="30" t="str">
        <f t="shared" si="96"/>
        <v>607,74543508658+1479,63632069363i</v>
      </c>
      <c r="BJ36" s="68">
        <f t="shared" si="97"/>
        <v>64.0801566137328</v>
      </c>
      <c r="BK36" s="31">
        <f t="shared" si="98"/>
        <v>67.6700958015125</v>
      </c>
      <c r="BL36" s="32">
        <f t="shared" si="99"/>
        <v>50.4911796569718</v>
      </c>
      <c r="BM36" s="31">
        <f t="shared" si="100"/>
        <v>62.7627530748997</v>
      </c>
      <c r="BO36">
        <f t="shared" si="101"/>
        <v>0</v>
      </c>
      <c r="BP36">
        <f t="shared" si="102"/>
        <v>0</v>
      </c>
    </row>
    <row r="37" spans="1:68">
      <c r="B37" s="12"/>
      <c r="C37" t="s">
        <v>492</v>
      </c>
      <c r="E37" t="s">
        <v>493</v>
      </c>
      <c r="N37" s="7">
        <v>19</v>
      </c>
      <c r="O37" s="18">
        <f t="shared" si="62"/>
        <v>15.4881661891248</v>
      </c>
      <c r="P37" s="86" t="str">
        <f t="shared" si="50"/>
        <v>163,636363636364</v>
      </c>
      <c r="Q37" s="4" t="str">
        <f t="shared" si="51"/>
        <v>1+0,594506293215406i</v>
      </c>
      <c r="R37" s="4">
        <f t="shared" si="63"/>
        <v>1.16337342786945</v>
      </c>
      <c r="S37" s="4">
        <f t="shared" si="64"/>
        <v>0.536370217843697</v>
      </c>
      <c r="T37" s="4" t="str">
        <f t="shared" si="52"/>
        <v>1+0,00152589948591954i</v>
      </c>
      <c r="U37" s="4">
        <f t="shared" si="65"/>
        <v>1.00000116418394</v>
      </c>
      <c r="V37" s="4">
        <f t="shared" si="66"/>
        <v>0.00152589830163538</v>
      </c>
      <c r="W37" t="str">
        <f t="shared" si="53"/>
        <v>1-0,00145972527351997i</v>
      </c>
      <c r="X37" s="4">
        <f t="shared" si="67"/>
        <v>1.00000106539837</v>
      </c>
      <c r="Y37" s="4">
        <f t="shared" si="68"/>
        <v>-0.00145972423672813</v>
      </c>
      <c r="Z37" t="str">
        <f t="shared" si="54"/>
        <v>0,999999998041769+0,000302371663800565i</v>
      </c>
      <c r="AA37" s="4">
        <f t="shared" si="69"/>
        <v>1.00000004375608</v>
      </c>
      <c r="AB37" s="4">
        <f t="shared" si="70"/>
        <v>0.000302371655177537</v>
      </c>
      <c r="AC37" s="67" t="str">
        <f t="shared" si="71"/>
        <v>120,88752572698-71,9070454148241i</v>
      </c>
      <c r="AD37" s="68">
        <f t="shared" si="72"/>
        <v>42.9632325840308</v>
      </c>
      <c r="AE37" s="31">
        <f t="shared" si="73"/>
        <v>-30.7452828640099</v>
      </c>
      <c r="AF37" s="32" t="str">
        <f t="shared" si="74"/>
        <v>748,315388573934</v>
      </c>
      <c r="AG37" s="32" t="str">
        <f t="shared" si="55"/>
        <v>1+0,484412535212553i</v>
      </c>
      <c r="AH37" s="32">
        <f t="shared" si="75"/>
        <v>1.11115053177823</v>
      </c>
      <c r="AI37" s="32">
        <f t="shared" si="76"/>
        <v>0.45110005780117</v>
      </c>
      <c r="AJ37" s="32" t="str">
        <f t="shared" si="56"/>
        <v>1+0,00152589948591954i</v>
      </c>
      <c r="AK37" s="32">
        <f t="shared" si="77"/>
        <v>1.00000116418394</v>
      </c>
      <c r="AL37" s="32">
        <f t="shared" si="78"/>
        <v>0.00152589830163538</v>
      </c>
      <c r="AM37" s="32" t="str">
        <f t="shared" si="57"/>
        <v>1-0,000260085326301267i</v>
      </c>
      <c r="AN37" s="32">
        <f t="shared" si="79"/>
        <v>1.00000003382219</v>
      </c>
      <c r="AO37" s="32">
        <f t="shared" si="80"/>
        <v>-0.000260085320436831</v>
      </c>
      <c r="AP37" s="30" t="str">
        <f t="shared" si="81"/>
        <v>606,464339391917-292,831699946127i</v>
      </c>
      <c r="AQ37" s="32">
        <f t="shared" si="82"/>
        <v>56.5662459622307</v>
      </c>
      <c r="AR37" s="31">
        <f t="shared" si="83"/>
        <v>-25.7736037086389</v>
      </c>
      <c r="AS37" t="str">
        <f t="shared" si="58"/>
        <v>-0,0000504684572142411</v>
      </c>
      <c r="AT37" t="str">
        <f t="shared" si="59"/>
        <v>0,0000218666845973291i</v>
      </c>
      <c r="AU37">
        <f t="shared" si="84"/>
        <v>2.18666845973291e-5</v>
      </c>
      <c r="AV37">
        <f t="shared" si="85"/>
        <v>1.5707963267949</v>
      </c>
      <c r="AW37" t="str">
        <f t="shared" si="60"/>
        <v>1+0,00111953414391014i</v>
      </c>
      <c r="AX37">
        <f t="shared" si="86"/>
        <v>1.00000062667815</v>
      </c>
      <c r="AY37">
        <f t="shared" si="87"/>
        <v>0.00111953367618529</v>
      </c>
      <c r="AZ37" t="str">
        <f t="shared" si="61"/>
        <v>1+0,0535232600290655i</v>
      </c>
      <c r="BA37">
        <f t="shared" si="88"/>
        <v>1.00143134530738</v>
      </c>
      <c r="BB37">
        <f t="shared" si="89"/>
        <v>0.0534722376366077</v>
      </c>
      <c r="BC37" s="30" t="str">
        <f t="shared" si="90"/>
        <v>-0,120948005224002+2,30814222692224i</v>
      </c>
      <c r="BD37" s="32">
        <f t="shared" si="91"/>
        <v>7.27715993655482</v>
      </c>
      <c r="BE37" s="31">
        <f t="shared" si="92"/>
        <v>92.99958898303</v>
      </c>
      <c r="BF37" s="30" t="str">
        <f t="shared" si="93"/>
        <v>151,350582842027+287,722616543066i</v>
      </c>
      <c r="BG37" s="68">
        <f t="shared" si="94"/>
        <v>50.2403925205856</v>
      </c>
      <c r="BH37" s="31">
        <f t="shared" si="95"/>
        <v>62.2543061190202</v>
      </c>
      <c r="BI37" s="30" t="str">
        <f t="shared" si="96"/>
        <v>602,546559938134+1435,22336084782i</v>
      </c>
      <c r="BJ37" s="68">
        <f t="shared" si="97"/>
        <v>63.8434058987855</v>
      </c>
      <c r="BK37" s="31">
        <f t="shared" si="98"/>
        <v>67.2259852743911</v>
      </c>
      <c r="BL37" s="32">
        <f t="shared" si="99"/>
        <v>50.2403925205856</v>
      </c>
      <c r="BM37" s="31">
        <f t="shared" si="100"/>
        <v>62.2543061190202</v>
      </c>
      <c r="BO37">
        <f t="shared" si="101"/>
        <v>0</v>
      </c>
      <c r="BP37">
        <f t="shared" si="102"/>
        <v>0</v>
      </c>
    </row>
    <row r="38" spans="1:68">
      <c r="A38" t="s">
        <v>494</v>
      </c>
      <c r="B38" s="89">
        <f>((VOUT/IOUT)*((1-DC_VIN_Var)^2))/(Lm*DC_VIN_Var)</f>
        <v>66666.6666666666</v>
      </c>
      <c r="C38" t="s">
        <v>324</v>
      </c>
      <c r="E38" t="s">
        <v>495</v>
      </c>
      <c r="N38" s="7">
        <v>20</v>
      </c>
      <c r="O38" s="18">
        <f t="shared" si="62"/>
        <v>15.8489319246111</v>
      </c>
      <c r="P38" s="86" t="str">
        <f t="shared" si="50"/>
        <v>163,636363636364</v>
      </c>
      <c r="Q38" s="4" t="str">
        <f t="shared" si="51"/>
        <v>1+0,608354123714131i</v>
      </c>
      <c r="R38" s="4">
        <f t="shared" si="63"/>
        <v>1.17051046122621</v>
      </c>
      <c r="S38" s="4">
        <f t="shared" si="64"/>
        <v>0.546539605081682</v>
      </c>
      <c r="T38" s="4" t="str">
        <f t="shared" si="52"/>
        <v>1+0,00156144225086627i</v>
      </c>
      <c r="U38" s="4">
        <f t="shared" si="65"/>
        <v>1.00000121905021</v>
      </c>
      <c r="V38" s="4">
        <f t="shared" si="66"/>
        <v>0.00156144098188302</v>
      </c>
      <c r="W38" t="str">
        <f t="shared" si="53"/>
        <v>1-0,00149372664304809i</v>
      </c>
      <c r="X38" s="4">
        <f t="shared" si="67"/>
        <v>1.00000111560902</v>
      </c>
      <c r="Y38" s="4">
        <f t="shared" si="68"/>
        <v>-0.00149372553210568</v>
      </c>
      <c r="Z38" t="str">
        <f t="shared" si="54"/>
        <v>0,99999999794948+0,00030941480463139i</v>
      </c>
      <c r="AA38" s="4">
        <f t="shared" si="69"/>
        <v>1.00000004581824</v>
      </c>
      <c r="AB38" s="4">
        <f t="shared" si="70"/>
        <v>0.00030941479539165</v>
      </c>
      <c r="AC38" s="67" t="str">
        <f t="shared" si="71"/>
        <v>119,417050287519-72,6874058763399i</v>
      </c>
      <c r="AD38" s="68">
        <f t="shared" si="72"/>
        <v>42.9101102899376</v>
      </c>
      <c r="AE38" s="31">
        <f t="shared" si="73"/>
        <v>-31.3282610603419</v>
      </c>
      <c r="AF38" s="32" t="str">
        <f t="shared" si="74"/>
        <v>748,315388573934</v>
      </c>
      <c r="AG38" s="32" t="str">
        <f t="shared" si="55"/>
        <v>1+0,495695952655959i</v>
      </c>
      <c r="AH38" s="32">
        <f t="shared" si="75"/>
        <v>1.11611579931452</v>
      </c>
      <c r="AI38" s="32">
        <f t="shared" si="76"/>
        <v>0.460198446636753</v>
      </c>
      <c r="AJ38" s="32" t="str">
        <f t="shared" si="56"/>
        <v>1+0,00156144225086627i</v>
      </c>
      <c r="AK38" s="32">
        <f t="shared" si="77"/>
        <v>1.00000121905021</v>
      </c>
      <c r="AL38" s="32">
        <f t="shared" si="78"/>
        <v>0.00156144098188302</v>
      </c>
      <c r="AM38" s="32" t="str">
        <f t="shared" si="57"/>
        <v>1-0,000266143491799139i</v>
      </c>
      <c r="AN38" s="32">
        <f t="shared" si="79"/>
        <v>1.00000003541618</v>
      </c>
      <c r="AO38" s="32">
        <f t="shared" si="80"/>
        <v>-0.000266143485515282</v>
      </c>
      <c r="AP38" s="30" t="str">
        <f t="shared" si="81"/>
        <v>601,097753301522-296,992431467944i</v>
      </c>
      <c r="AQ38" s="32">
        <f t="shared" si="82"/>
        <v>56.5275193038566</v>
      </c>
      <c r="AR38" s="31">
        <f t="shared" si="83"/>
        <v>-26.2932136510066</v>
      </c>
      <c r="AS38" t="str">
        <f t="shared" si="58"/>
        <v>-0,0000504684572142411</v>
      </c>
      <c r="AT38" t="str">
        <f t="shared" si="59"/>
        <v>0,0000223760251128604i</v>
      </c>
      <c r="AU38">
        <f t="shared" si="84"/>
        <v>2.23760251128604e-5</v>
      </c>
      <c r="AV38">
        <f t="shared" si="85"/>
        <v>1.5707963267949</v>
      </c>
      <c r="AW38" t="str">
        <f t="shared" si="60"/>
        <v>1+0,00114561144408228i</v>
      </c>
      <c r="AX38">
        <f t="shared" si="86"/>
        <v>1.00000065621258</v>
      </c>
      <c r="AY38">
        <f t="shared" si="87"/>
        <v>0.00114561094290609</v>
      </c>
      <c r="AZ38" t="str">
        <f t="shared" si="61"/>
        <v>1+0,0547699769117632i</v>
      </c>
      <c r="BA38">
        <f t="shared" si="88"/>
        <v>1.00149875205659</v>
      </c>
      <c r="BB38">
        <f t="shared" si="89"/>
        <v>0.0547153098510857</v>
      </c>
      <c r="BC38" s="30" t="str">
        <f t="shared" si="90"/>
        <v>-0,120947998079748+2,25560873160119i</v>
      </c>
      <c r="BD38" s="32">
        <f t="shared" si="91"/>
        <v>7.07774431109408</v>
      </c>
      <c r="BE38" s="31">
        <f t="shared" si="92"/>
        <v>93.0693176572253</v>
      </c>
      <c r="BF38" s="30" t="str">
        <f t="shared" si="93"/>
        <v>149,511094203248+278,14953755694i</v>
      </c>
      <c r="BG38" s="68">
        <f t="shared" si="94"/>
        <v>49.9878546010317</v>
      </c>
      <c r="BH38" s="31">
        <f t="shared" si="95"/>
        <v>61.7410565968834</v>
      </c>
      <c r="BI38" s="30" t="str">
        <f t="shared" si="96"/>
        <v>597,197151726509+1391,76198092366i</v>
      </c>
      <c r="BJ38" s="68">
        <f t="shared" si="97"/>
        <v>63.6052636149507</v>
      </c>
      <c r="BK38" s="31">
        <f t="shared" si="98"/>
        <v>66.7761040062187</v>
      </c>
      <c r="BL38" s="32">
        <f t="shared" si="99"/>
        <v>49.9878546010317</v>
      </c>
      <c r="BM38" s="31">
        <f t="shared" si="100"/>
        <v>61.7410565968834</v>
      </c>
      <c r="BO38">
        <f t="shared" si="101"/>
        <v>0</v>
      </c>
      <c r="BP38">
        <f t="shared" si="102"/>
        <v>0</v>
      </c>
    </row>
    <row r="39" spans="1:68">
      <c r="B39" s="12">
        <f>wz_rhp/2*PI()</f>
        <v>104719.75511966</v>
      </c>
      <c r="C39" t="s">
        <v>111</v>
      </c>
      <c r="N39" s="7">
        <v>21</v>
      </c>
      <c r="O39" s="18">
        <f t="shared" si="62"/>
        <v>16.2181009735893</v>
      </c>
      <c r="P39" s="86" t="str">
        <f t="shared" si="50"/>
        <v>163,636363636364</v>
      </c>
      <c r="Q39" s="4" t="str">
        <f t="shared" si="51"/>
        <v>1+0,62252451162177i</v>
      </c>
      <c r="R39" s="4">
        <f t="shared" si="63"/>
        <v>1.17793750579983</v>
      </c>
      <c r="S39" s="4">
        <f t="shared" si="64"/>
        <v>0.556817208018567</v>
      </c>
      <c r="T39" s="4" t="str">
        <f t="shared" si="52"/>
        <v>1+0,00159781291316254i</v>
      </c>
      <c r="U39" s="4">
        <f t="shared" si="65"/>
        <v>1.00000127650224</v>
      </c>
      <c r="V39" s="4">
        <f t="shared" si="66"/>
        <v>0.00159781155342258</v>
      </c>
      <c r="W39" t="str">
        <f t="shared" si="53"/>
        <v>1-0,00152852000621417i</v>
      </c>
      <c r="X39" s="4">
        <f t="shared" si="67"/>
        <v>1.00000116818602</v>
      </c>
      <c r="Y39" s="4">
        <f t="shared" si="68"/>
        <v>-0.00152851881581801</v>
      </c>
      <c r="Z39" t="str">
        <f t="shared" si="54"/>
        <v>0,999999997852842+0,00031662200128722i</v>
      </c>
      <c r="AA39" s="4">
        <f t="shared" si="69"/>
        <v>1.00000004797759</v>
      </c>
      <c r="AB39" s="4">
        <f t="shared" si="70"/>
        <v>0.00031662199138666</v>
      </c>
      <c r="AC39" s="67" t="str">
        <f t="shared" si="71"/>
        <v>117,915113844402-73,4455208151091i</v>
      </c>
      <c r="AD39" s="68">
        <f t="shared" si="72"/>
        <v>42.8551722156867</v>
      </c>
      <c r="AE39" s="31">
        <f t="shared" si="73"/>
        <v>-31.9174469021138</v>
      </c>
      <c r="AF39" s="32" t="str">
        <f t="shared" si="74"/>
        <v>748,315388573934</v>
      </c>
      <c r="AG39" s="32" t="str">
        <f t="shared" si="55"/>
        <v>1+0,507242194654775i</v>
      </c>
      <c r="AH39" s="32">
        <f t="shared" si="75"/>
        <v>1.12129150716403</v>
      </c>
      <c r="AI39" s="32">
        <f t="shared" si="76"/>
        <v>0.469424565136046</v>
      </c>
      <c r="AJ39" s="32" t="str">
        <f t="shared" si="56"/>
        <v>1+0,00159781291316254i</v>
      </c>
      <c r="AK39" s="32">
        <f t="shared" si="77"/>
        <v>1.00000127650224</v>
      </c>
      <c r="AL39" s="32">
        <f t="shared" si="78"/>
        <v>0.00159781155342258</v>
      </c>
      <c r="AM39" s="32" t="str">
        <f t="shared" si="57"/>
        <v>1-0,00027234277009919i</v>
      </c>
      <c r="AN39" s="32">
        <f t="shared" si="79"/>
        <v>1.00000003708529</v>
      </c>
      <c r="AO39" s="32">
        <f t="shared" si="80"/>
        <v>-0.000272342763365916</v>
      </c>
      <c r="AP39" s="30" t="str">
        <f t="shared" si="81"/>
        <v>595,579433923662-301,111149449537i</v>
      </c>
      <c r="AQ39" s="32">
        <f t="shared" si="82"/>
        <v>56.4873342800903</v>
      </c>
      <c r="AR39" s="31">
        <f t="shared" si="83"/>
        <v>-26.8201026145129</v>
      </c>
      <c r="AS39" t="str">
        <f t="shared" si="58"/>
        <v>-0,0000504684572142411</v>
      </c>
      <c r="AT39" t="str">
        <f t="shared" si="59"/>
        <v>0,0000228972296930883i</v>
      </c>
      <c r="AU39">
        <f t="shared" si="84"/>
        <v>2.28972296930883e-5</v>
      </c>
      <c r="AV39">
        <f t="shared" si="85"/>
        <v>1.5707963267949</v>
      </c>
      <c r="AW39" t="str">
        <f t="shared" si="60"/>
        <v>1+0,00117229616260603i</v>
      </c>
      <c r="AX39">
        <f t="shared" si="86"/>
        <v>1.00000068713891</v>
      </c>
      <c r="AY39">
        <f t="shared" si="87"/>
        <v>0.00117229562558608</v>
      </c>
      <c r="AZ39" t="str">
        <f t="shared" si="61"/>
        <v>1+0,056045733561186i</v>
      </c>
      <c r="BA39">
        <f t="shared" si="88"/>
        <v>1.00156933072574</v>
      </c>
      <c r="BB39">
        <f t="shared" si="89"/>
        <v>0.0559871617062321</v>
      </c>
      <c r="BC39" s="30" t="str">
        <f t="shared" si="90"/>
        <v>-0,120947990598795+2,20427118988537i</v>
      </c>
      <c r="BD39" s="32">
        <f t="shared" si="91"/>
        <v>6.87835614201675</v>
      </c>
      <c r="BE39" s="31">
        <f t="shared" si="92"/>
        <v>93.1406604809958</v>
      </c>
      <c r="BF39" s="30" t="str">
        <f t="shared" si="93"/>
        <v>147,632249478163+268,799976460338i</v>
      </c>
      <c r="BG39" s="68">
        <f t="shared" si="94"/>
        <v>49.7335283577034</v>
      </c>
      <c r="BH39" s="31">
        <f t="shared" si="95"/>
        <v>61.2232135788819</v>
      </c>
      <c r="BI39" s="30" t="str">
        <f t="shared" si="96"/>
        <v>591,696495909848+1349,23737595898i</v>
      </c>
      <c r="BJ39" s="68">
        <f t="shared" si="97"/>
        <v>63.3656904221071</v>
      </c>
      <c r="BK39" s="31">
        <f t="shared" si="98"/>
        <v>66.3205578664829</v>
      </c>
      <c r="BL39" s="32">
        <f t="shared" si="99"/>
        <v>49.7335283577034</v>
      </c>
      <c r="BM39" s="31">
        <f t="shared" si="100"/>
        <v>61.2232135788819</v>
      </c>
      <c r="BO39">
        <f t="shared" si="101"/>
        <v>0</v>
      </c>
      <c r="BP39">
        <f t="shared" si="102"/>
        <v>0</v>
      </c>
    </row>
    <row r="40" spans="1:68">
      <c r="B40" s="12"/>
      <c r="N40" s="7">
        <v>22</v>
      </c>
      <c r="O40" s="18">
        <f t="shared" si="62"/>
        <v>16.5958690743756</v>
      </c>
      <c r="P40" s="86" t="str">
        <f t="shared" si="50"/>
        <v>163,636363636364</v>
      </c>
      <c r="Q40" s="4" t="str">
        <f t="shared" si="51"/>
        <v>1+0,637024970265558i</v>
      </c>
      <c r="R40" s="4">
        <f t="shared" si="63"/>
        <v>1.18566471345901</v>
      </c>
      <c r="S40" s="4">
        <f t="shared" si="64"/>
        <v>0.567199790660955</v>
      </c>
      <c r="T40" s="4" t="str">
        <f t="shared" si="52"/>
        <v>1+0,00163503075701493i</v>
      </c>
      <c r="U40" s="4">
        <f t="shared" si="65"/>
        <v>1.00000133666189</v>
      </c>
      <c r="V40" s="4">
        <f t="shared" si="66"/>
        <v>0.00163502930002742</v>
      </c>
      <c r="W40" t="str">
        <f t="shared" si="53"/>
        <v>1-0,0015641238109199i</v>
      </c>
      <c r="X40" s="4">
        <f t="shared" si="67"/>
        <v>1.0000012232409</v>
      </c>
      <c r="Y40" s="4">
        <f t="shared" si="68"/>
        <v>-0.00156412253538751</v>
      </c>
      <c r="Z40" t="str">
        <f t="shared" si="54"/>
        <v>0,99999999775165+0,000323997075119121i</v>
      </c>
      <c r="AA40" s="4">
        <f t="shared" si="69"/>
        <v>1.0000000502387</v>
      </c>
      <c r="AB40" s="4">
        <f t="shared" si="70"/>
        <v>0.000323997064510479</v>
      </c>
      <c r="AC40" s="67" t="str">
        <f t="shared" si="71"/>
        <v>116,382339000336-74,1798709209625i</v>
      </c>
      <c r="AD40" s="68">
        <f t="shared" si="72"/>
        <v>42.7983802969401</v>
      </c>
      <c r="AE40" s="31">
        <f t="shared" si="73"/>
        <v>-32.5126551515947</v>
      </c>
      <c r="AF40" s="32" t="str">
        <f t="shared" si="74"/>
        <v>748,315388573934</v>
      </c>
      <c r="AG40" s="32" t="str">
        <f t="shared" si="55"/>
        <v>1+0,519057383179343i</v>
      </c>
      <c r="AH40" s="32">
        <f t="shared" si="75"/>
        <v>1.12668565582108</v>
      </c>
      <c r="AI40" s="32">
        <f t="shared" si="76"/>
        <v>0.478777021464088</v>
      </c>
      <c r="AJ40" s="32" t="str">
        <f t="shared" si="56"/>
        <v>1+0,00163503075701493i</v>
      </c>
      <c r="AK40" s="32">
        <f t="shared" si="77"/>
        <v>1.00000133666189</v>
      </c>
      <c r="AL40" s="32">
        <f t="shared" si="78"/>
        <v>0.00163502930002742</v>
      </c>
      <c r="AM40" s="32" t="str">
        <f t="shared" si="57"/>
        <v>1-0,00027868644814083i</v>
      </c>
      <c r="AN40" s="32">
        <f t="shared" si="79"/>
        <v>1.00000003883307</v>
      </c>
      <c r="AO40" s="32">
        <f t="shared" si="80"/>
        <v>-0.000278686440925997</v>
      </c>
      <c r="AP40" s="30" t="str">
        <f t="shared" si="81"/>
        <v>589,908954049004-305,181624684204i</v>
      </c>
      <c r="AQ40" s="32">
        <f t="shared" si="82"/>
        <v>56.4456501684979</v>
      </c>
      <c r="AR40" s="31">
        <f t="shared" si="83"/>
        <v>-27.3541899363374</v>
      </c>
      <c r="AS40" t="str">
        <f t="shared" si="58"/>
        <v>-0,0000504684572142411</v>
      </c>
      <c r="AT40" t="str">
        <f t="shared" si="59"/>
        <v>0,00002343057468758i</v>
      </c>
      <c r="AU40">
        <f t="shared" si="84"/>
        <v>2.343057468758e-5</v>
      </c>
      <c r="AV40">
        <f t="shared" si="85"/>
        <v>1.5707963267949</v>
      </c>
      <c r="AW40" t="str">
        <f t="shared" si="60"/>
        <v>1+0,00119960244807237i</v>
      </c>
      <c r="AX40">
        <f t="shared" si="86"/>
        <v>1.00000071952276</v>
      </c>
      <c r="AY40">
        <f t="shared" si="87"/>
        <v>0.00119960187264515</v>
      </c>
      <c r="AZ40" t="str">
        <f t="shared" si="61"/>
        <v>1+0,0573512064003961i</v>
      </c>
      <c r="BA40">
        <f t="shared" si="88"/>
        <v>1.00164323033482</v>
      </c>
      <c r="BB40">
        <f t="shared" si="89"/>
        <v>0.0572884510865601</v>
      </c>
      <c r="BC40" s="30" t="str">
        <f t="shared" si="90"/>
        <v>-0,120947982765279+2,15410238193058i</v>
      </c>
      <c r="BD40" s="32">
        <f t="shared" si="91"/>
        <v>6.67899671519144</v>
      </c>
      <c r="BE40" s="31">
        <f t="shared" si="92"/>
        <v>93.213654337703</v>
      </c>
      <c r="BF40" s="30" t="str">
        <f t="shared" si="93"/>
        <v>145,714827510553+259,671379404955i</v>
      </c>
      <c r="BG40" s="68">
        <f t="shared" si="94"/>
        <v>49.4773770121315</v>
      </c>
      <c r="BH40" s="31">
        <f t="shared" si="95"/>
        <v>60.7009991861082</v>
      </c>
      <c r="BI40" s="30" t="str">
        <f t="shared" si="96"/>
        <v>586,044166646285+1307,63538492172i</v>
      </c>
      <c r="BJ40" s="68">
        <f t="shared" si="97"/>
        <v>63.1246468836893</v>
      </c>
      <c r="BK40" s="31">
        <f t="shared" si="98"/>
        <v>65.8594644013655</v>
      </c>
      <c r="BL40" s="32">
        <f t="shared" si="99"/>
        <v>49.4773770121315</v>
      </c>
      <c r="BM40" s="31">
        <f t="shared" si="100"/>
        <v>60.7009991861082</v>
      </c>
      <c r="BO40">
        <f t="shared" si="101"/>
        <v>0</v>
      </c>
      <c r="BP40">
        <f t="shared" si="102"/>
        <v>0</v>
      </c>
    </row>
    <row r="41" spans="1:68">
      <c r="A41" t="s">
        <v>443</v>
      </c>
      <c r="B41" s="89">
        <f>1/(Cout*Resr)</f>
        <v>63775.5102040816</v>
      </c>
      <c r="C41" t="s">
        <v>324</v>
      </c>
      <c r="E41" t="s">
        <v>496</v>
      </c>
      <c r="N41" s="7">
        <v>23</v>
      </c>
      <c r="O41" s="18">
        <f t="shared" si="62"/>
        <v>16.9824365246174</v>
      </c>
      <c r="P41" s="86" t="str">
        <f t="shared" si="50"/>
        <v>163,636363636364</v>
      </c>
      <c r="Q41" s="4" t="str">
        <f t="shared" si="51"/>
        <v>1+0,651863187980599i</v>
      </c>
      <c r="R41" s="4">
        <f t="shared" si="63"/>
        <v>1.19370248213038</v>
      </c>
      <c r="S41" s="4">
        <f t="shared" si="64"/>
        <v>0.577683903900131</v>
      </c>
      <c r="T41" s="4" t="str">
        <f t="shared" si="52"/>
        <v>1+0,00167311551581687i</v>
      </c>
      <c r="U41" s="4">
        <f t="shared" si="65"/>
        <v>1.00000139965679</v>
      </c>
      <c r="V41" s="4">
        <f t="shared" si="66"/>
        <v>0.00167311395462674</v>
      </c>
      <c r="W41" t="str">
        <f t="shared" si="53"/>
        <v>1-0,00160055693477379i</v>
      </c>
      <c r="X41" s="4">
        <f t="shared" si="67"/>
        <v>1.00000128089043</v>
      </c>
      <c r="Y41" s="4">
        <f t="shared" si="68"/>
        <v>-0.00160055556801631</v>
      </c>
      <c r="Z41" t="str">
        <f t="shared" si="54"/>
        <v>0,999999997645689+0,000331543936488857i</v>
      </c>
      <c r="AA41" s="4">
        <f t="shared" si="69"/>
        <v>1.00000005260638</v>
      </c>
      <c r="AB41" s="4">
        <f t="shared" si="70"/>
        <v>0.000331543925121493</v>
      </c>
      <c r="AC41" s="67" t="str">
        <f t="shared" si="71"/>
        <v>114,819440874266-74,8889463331022i</v>
      </c>
      <c r="AD41" s="68">
        <f t="shared" si="72"/>
        <v>42.7396972865084</v>
      </c>
      <c r="AE41" s="31">
        <f t="shared" si="73"/>
        <v>-33.1136883644301</v>
      </c>
      <c r="AF41" s="32" t="str">
        <f t="shared" si="74"/>
        <v>748,315388573934</v>
      </c>
      <c r="AG41" s="32" t="str">
        <f t="shared" si="55"/>
        <v>1+0,531147782799006i</v>
      </c>
      <c r="AH41" s="32">
        <f t="shared" si="75"/>
        <v>1.13230648111379</v>
      </c>
      <c r="AI41" s="32">
        <f t="shared" si="76"/>
        <v>0.488254229162556</v>
      </c>
      <c r="AJ41" s="32" t="str">
        <f t="shared" si="56"/>
        <v>1+0,00167311551581687i</v>
      </c>
      <c r="AK41" s="32">
        <f t="shared" si="77"/>
        <v>1.00000139965679</v>
      </c>
      <c r="AL41" s="32">
        <f t="shared" si="78"/>
        <v>0.00167311395462674</v>
      </c>
      <c r="AM41" s="32" t="str">
        <f t="shared" si="57"/>
        <v>1-0,000285177889426124i</v>
      </c>
      <c r="AN41" s="32">
        <f t="shared" si="79"/>
        <v>1.00000004066321</v>
      </c>
      <c r="AO41" s="32">
        <f t="shared" si="80"/>
        <v>-0.000285177881695291</v>
      </c>
      <c r="AP41" s="30" t="str">
        <f t="shared" si="81"/>
        <v>584,086194012701-309,197471829147i</v>
      </c>
      <c r="AQ41" s="32">
        <f t="shared" si="82"/>
        <v>56.4024261730292</v>
      </c>
      <c r="AR41" s="31">
        <f t="shared" si="83"/>
        <v>-27.8953837812148</v>
      </c>
      <c r="AS41" t="str">
        <f t="shared" si="58"/>
        <v>-0,0000504684572142411</v>
      </c>
      <c r="AT41" t="str">
        <f t="shared" si="59"/>
        <v>0,0000239763428829114i</v>
      </c>
      <c r="AU41">
        <f t="shared" si="84"/>
        <v>2.39763428829114e-5</v>
      </c>
      <c r="AV41">
        <f t="shared" si="85"/>
        <v>1.5707963267949</v>
      </c>
      <c r="AW41" t="str">
        <f t="shared" si="60"/>
        <v>1+0,00122754477863529i</v>
      </c>
      <c r="AX41">
        <f t="shared" si="86"/>
        <v>1.00000075343281</v>
      </c>
      <c r="AY41">
        <f t="shared" si="87"/>
        <v>0.00122754416205394</v>
      </c>
      <c r="AZ41" t="str">
        <f t="shared" si="61"/>
        <v>1+0,0586870876083722i</v>
      </c>
      <c r="BA41">
        <f t="shared" si="88"/>
        <v>1.00172060688196</v>
      </c>
      <c r="BB41">
        <f t="shared" si="89"/>
        <v>0.0586198503145956</v>
      </c>
      <c r="BC41" s="30" t="str">
        <f t="shared" si="90"/>
        <v>-0,120947974562581+2,10507570757073i</v>
      </c>
      <c r="BD41" s="32">
        <f t="shared" si="91"/>
        <v>6.47966737630922</v>
      </c>
      <c r="BE41" s="31">
        <f t="shared" si="92"/>
        <v>93.2883369190633</v>
      </c>
      <c r="BF41" s="30" t="str">
        <f t="shared" si="93"/>
        <v>143,759722877231+250,761282117386i</v>
      </c>
      <c r="BG41" s="68">
        <f t="shared" si="94"/>
        <v>49.2193646628176</v>
      </c>
      <c r="BH41" s="31">
        <f t="shared" si="95"/>
        <v>60.1746485546333</v>
      </c>
      <c r="BI41" s="30" t="str">
        <f t="shared" si="96"/>
        <v>580,240044654019+1266,94246610119i</v>
      </c>
      <c r="BJ41" s="68">
        <f t="shared" si="97"/>
        <v>62.8820935493384</v>
      </c>
      <c r="BK41" s="31">
        <f t="shared" si="98"/>
        <v>65.3929531378486</v>
      </c>
      <c r="BL41" s="32">
        <f t="shared" si="99"/>
        <v>49.2193646628176</v>
      </c>
      <c r="BM41" s="31">
        <f t="shared" si="100"/>
        <v>60.1746485546333</v>
      </c>
      <c r="BO41">
        <f t="shared" si="101"/>
        <v>0</v>
      </c>
      <c r="BP41">
        <f t="shared" si="102"/>
        <v>0</v>
      </c>
    </row>
    <row r="42" customFormat="1" spans="1:68">
      <c r="B42" s="89"/>
      <c r="N42" s="7">
        <v>24</v>
      </c>
      <c r="O42" s="18">
        <f t="shared" si="62"/>
        <v>17.3780082874938</v>
      </c>
      <c r="P42" s="86" t="str">
        <f t="shared" si="50"/>
        <v>163,636363636364</v>
      </c>
      <c r="Q42" s="4" t="str">
        <f t="shared" si="51"/>
        <v>1+0,667047032186341i</v>
      </c>
      <c r="R42" s="4">
        <f t="shared" si="63"/>
        <v>1.20206145564551</v>
      </c>
      <c r="S42" s="4">
        <f t="shared" si="64"/>
        <v>0.588265887296307</v>
      </c>
      <c r="T42" s="4" t="str">
        <f t="shared" si="52"/>
        <v>1+0,00171208738261161i</v>
      </c>
      <c r="U42" s="4">
        <f t="shared" si="65"/>
        <v>1.00000146562053</v>
      </c>
      <c r="V42" s="4">
        <f t="shared" si="66"/>
        <v>0.00171208570976638</v>
      </c>
      <c r="W42" t="str">
        <f t="shared" si="53"/>
        <v>1-0,00163783869510039i</v>
      </c>
      <c r="X42" s="4">
        <f t="shared" si="67"/>
        <v>1.0000013412569</v>
      </c>
      <c r="Y42" s="4">
        <f t="shared" si="68"/>
        <v>-0.00163783723059347</v>
      </c>
      <c r="Z42" t="str">
        <f t="shared" si="54"/>
        <v>0,999999997534733+0,000339266586842224i</v>
      </c>
      <c r="AA42" s="4">
        <f t="shared" si="69"/>
        <v>1.00000005508564</v>
      </c>
      <c r="AB42" s="4">
        <f t="shared" si="70"/>
        <v>0.000339266574661874</v>
      </c>
      <c r="AC42" s="67" t="str">
        <f t="shared" si="71"/>
        <v>113,227228050874-75,5712531502933i</v>
      </c>
      <c r="AD42" s="68">
        <f t="shared" si="72"/>
        <v>42.6790868680178</v>
      </c>
      <c r="AE42" s="31">
        <f t="shared" si="73"/>
        <v>-33.720336991963</v>
      </c>
      <c r="AF42" s="32" t="str">
        <f t="shared" si="74"/>
        <v>748,315388573934</v>
      </c>
      <c r="AG42" s="32" t="str">
        <f t="shared" si="55"/>
        <v>1+0,543519804003685i</v>
      </c>
      <c r="AH42" s="32">
        <f t="shared" si="75"/>
        <v>1.13816245648159</v>
      </c>
      <c r="AI42" s="32">
        <f t="shared" si="76"/>
        <v>0.497854402569441</v>
      </c>
      <c r="AJ42" s="32" t="str">
        <f t="shared" si="56"/>
        <v>1+0,00171208738261161i</v>
      </c>
      <c r="AK42" s="32">
        <f t="shared" si="77"/>
        <v>1.00000146562053</v>
      </c>
      <c r="AL42" s="32">
        <f t="shared" si="78"/>
        <v>0.00171208570976638</v>
      </c>
      <c r="AM42" s="32" t="str">
        <f t="shared" si="57"/>
        <v>1-0,00029182053580317i</v>
      </c>
      <c r="AN42" s="32">
        <f t="shared" si="79"/>
        <v>1.00000004257961</v>
      </c>
      <c r="AO42" s="32">
        <f t="shared" si="80"/>
        <v>-0.000291820527519433</v>
      </c>
      <c r="AP42" s="30" t="str">
        <f t="shared" si="81"/>
        <v>578,111359081495-313,15216504293i</v>
      </c>
      <c r="AQ42" s="32">
        <f t="shared" si="82"/>
        <v>56.3576215087762</v>
      </c>
      <c r="AR42" s="31">
        <f t="shared" si="83"/>
        <v>-28.4435808785039</v>
      </c>
      <c r="AS42" t="str">
        <f t="shared" si="58"/>
        <v>-0,0000504684572142411</v>
      </c>
      <c r="AT42" t="str">
        <f t="shared" si="59"/>
        <v>0,0000245348236526039i</v>
      </c>
      <c r="AU42">
        <f t="shared" si="84"/>
        <v>2.45348236526039e-5</v>
      </c>
      <c r="AV42">
        <f t="shared" si="85"/>
        <v>1.5707963267949</v>
      </c>
      <c r="AW42" t="str">
        <f t="shared" si="60"/>
        <v>1+0,00125613796968833i</v>
      </c>
      <c r="AX42">
        <f t="shared" si="86"/>
        <v>1.00000078894099</v>
      </c>
      <c r="AY42">
        <f t="shared" si="87"/>
        <v>0.00125613730900954</v>
      </c>
      <c r="AZ42" t="str">
        <f t="shared" si="61"/>
        <v>1+0,0600540854870142i</v>
      </c>
      <c r="BA42">
        <f t="shared" si="88"/>
        <v>1.00180162366792</v>
      </c>
      <c r="BB42">
        <f t="shared" si="89"/>
        <v>0.0599820464245933</v>
      </c>
      <c r="BC42" s="30" t="str">
        <f t="shared" si="90"/>
        <v>-0,120947965973303+2,05716517221404i</v>
      </c>
      <c r="BD42" s="32">
        <f t="shared" si="91"/>
        <v>6.28036953362826</v>
      </c>
      <c r="BE42" s="31">
        <f t="shared" si="92"/>
        <v>93.3647467403918</v>
      </c>
      <c r="BF42" s="30" t="str">
        <f t="shared" si="93"/>
        <v>141,767947075805+242,067299447176i</v>
      </c>
      <c r="BG42" s="68">
        <f t="shared" si="94"/>
        <v>48.959456401646</v>
      </c>
      <c r="BH42" s="31">
        <f t="shared" si="95"/>
        <v>59.6444097484289</v>
      </c>
      <c r="BI42" s="30" t="str">
        <f t="shared" si="96"/>
        <v>574,28433454277+1227,14567096585i</v>
      </c>
      <c r="BJ42" s="68">
        <f t="shared" si="97"/>
        <v>62.6379910424045</v>
      </c>
      <c r="BK42" s="31">
        <f t="shared" si="98"/>
        <v>64.9211658618878</v>
      </c>
      <c r="BL42" s="32">
        <f t="shared" si="99"/>
        <v>48.959456401646</v>
      </c>
      <c r="BM42" s="31">
        <f t="shared" si="100"/>
        <v>59.6444097484289</v>
      </c>
      <c r="BO42">
        <f t="shared" si="101"/>
        <v>0</v>
      </c>
      <c r="BP42">
        <f t="shared" si="102"/>
        <v>0</v>
      </c>
    </row>
    <row r="43" customFormat="1" spans="1:68">
      <c r="B43" s="12"/>
      <c r="N43" s="7">
        <v>25</v>
      </c>
      <c r="O43" s="18">
        <f t="shared" si="62"/>
        <v>17.7827941003892</v>
      </c>
      <c r="P43" s="86" t="str">
        <f t="shared" si="50"/>
        <v>163,636363636364</v>
      </c>
      <c r="Q43" s="4" t="str">
        <f t="shared" si="51"/>
        <v>1+0,682584553557954i</v>
      </c>
      <c r="R43" s="4">
        <f t="shared" si="63"/>
        <v>1.21075252333246</v>
      </c>
      <c r="S43" s="4">
        <f t="shared" si="64"/>
        <v>0.598941871793937</v>
      </c>
      <c r="T43" s="4" t="str">
        <f t="shared" si="52"/>
        <v>1+0,00175196702079875i</v>
      </c>
      <c r="U43" s="4">
        <f t="shared" si="65"/>
        <v>1.00000153469304</v>
      </c>
      <c r="V43" s="4">
        <f t="shared" si="66"/>
        <v>0.00175196522831294</v>
      </c>
      <c r="W43" t="str">
        <f t="shared" si="53"/>
        <v>1-0,00167598885918248i</v>
      </c>
      <c r="X43" s="4">
        <f t="shared" si="67"/>
        <v>1.00000140446834</v>
      </c>
      <c r="Y43" s="4">
        <f t="shared" si="68"/>
        <v>-0.00167598728993516</v>
      </c>
      <c r="Z43" t="str">
        <f t="shared" si="54"/>
        <v>0,999999997418549+0,000347169120830656i</v>
      </c>
      <c r="AA43" s="4">
        <f t="shared" si="69"/>
        <v>1.00000005768175</v>
      </c>
      <c r="AB43" s="4">
        <f t="shared" si="70"/>
        <v>0.000347169107779176</v>
      </c>
      <c r="AC43" s="67" t="str">
        <f t="shared" si="71"/>
        <v>111,606603008098-76,2253201525406i</v>
      </c>
      <c r="AD43" s="68">
        <f t="shared" si="72"/>
        <v>42.6165137704216</v>
      </c>
      <c r="AE43" s="31">
        <f t="shared" si="73"/>
        <v>-34.3323795369063</v>
      </c>
      <c r="AF43" s="32" t="str">
        <f t="shared" si="74"/>
        <v>748,315388573934</v>
      </c>
      <c r="AG43" s="32" t="str">
        <f t="shared" si="55"/>
        <v>1+0,556180006602777i</v>
      </c>
      <c r="AH43" s="32">
        <f t="shared" si="75"/>
        <v>1.14426229499388</v>
      </c>
      <c r="AI43" s="32">
        <f t="shared" si="76"/>
        <v>0.507575552748822</v>
      </c>
      <c r="AJ43" s="32" t="str">
        <f t="shared" si="56"/>
        <v>1+0,00175196702079875i</v>
      </c>
      <c r="AK43" s="32">
        <f t="shared" si="77"/>
        <v>1.00000153469304</v>
      </c>
      <c r="AL43" s="32">
        <f t="shared" si="78"/>
        <v>0.00175196522831294</v>
      </c>
      <c r="AM43" s="32" t="str">
        <f t="shared" si="57"/>
        <v>1-0,000298617909290997i</v>
      </c>
      <c r="AN43" s="32">
        <f t="shared" si="79"/>
        <v>1.00000004458633</v>
      </c>
      <c r="AO43" s="32">
        <f t="shared" si="80"/>
        <v>-0.000298617900414813</v>
      </c>
      <c r="AP43" s="30" t="str">
        <f t="shared" si="81"/>
        <v>571,984996132122-317,039055420341i</v>
      </c>
      <c r="AQ43" s="32">
        <f t="shared" si="82"/>
        <v>56.3111954912991</v>
      </c>
      <c r="AR43" s="31">
        <f t="shared" si="83"/>
        <v>-28.9986662884722</v>
      </c>
      <c r="AS43" t="str">
        <f t="shared" si="58"/>
        <v>-0,0000504684572142411</v>
      </c>
      <c r="AT43" t="str">
        <f t="shared" si="59"/>
        <v>0,0000251063131105535i</v>
      </c>
      <c r="AU43">
        <f t="shared" si="84"/>
        <v>2.51063131105535e-5</v>
      </c>
      <c r="AV43">
        <f t="shared" si="85"/>
        <v>1.5707963267949</v>
      </c>
      <c r="AW43" t="str">
        <f t="shared" si="60"/>
        <v>1+0,00128539718171983i</v>
      </c>
      <c r="AX43">
        <f t="shared" si="86"/>
        <v>1.00000082612262</v>
      </c>
      <c r="AY43">
        <f t="shared" si="87"/>
        <v>0.00128539647378978</v>
      </c>
      <c r="AZ43" t="str">
        <f t="shared" si="61"/>
        <v>1+0,0614529248366907i</v>
      </c>
      <c r="BA43">
        <f t="shared" si="88"/>
        <v>1.00188645163561</v>
      </c>
      <c r="BB43">
        <f t="shared" si="89"/>
        <v>0.0613757414382394</v>
      </c>
      <c r="BC43" s="30" t="str">
        <f t="shared" si="90"/>
        <v>-0,120947956979226+2,01034537306046i</v>
      </c>
      <c r="BD43" s="32">
        <f t="shared" si="91"/>
        <v>6.08110466084122</v>
      </c>
      <c r="BE43" s="31">
        <f t="shared" si="92"/>
        <v>93.4429231559482</v>
      </c>
      <c r="BF43" s="30" t="str">
        <f t="shared" si="93"/>
        <v>139,740629059491+233,587114702863i</v>
      </c>
      <c r="BG43" s="68">
        <f t="shared" si="94"/>
        <v>48.6976184312628</v>
      </c>
      <c r="BH43" s="31">
        <f t="shared" si="95"/>
        <v>59.110543619042</v>
      </c>
      <c r="BI43" s="30" t="str">
        <f t="shared" si="96"/>
        <v>568,177581438791+1188,23261646993i</v>
      </c>
      <c r="BJ43" s="68">
        <f t="shared" si="97"/>
        <v>62.3923001521404</v>
      </c>
      <c r="BK43" s="31">
        <f t="shared" si="98"/>
        <v>64.444256867476</v>
      </c>
      <c r="BL43" s="32">
        <f t="shared" si="99"/>
        <v>48.6976184312628</v>
      </c>
      <c r="BM43" s="31">
        <f t="shared" si="100"/>
        <v>59.110543619042</v>
      </c>
      <c r="BO43">
        <f t="shared" si="101"/>
        <v>0</v>
      </c>
      <c r="BP43">
        <f t="shared" si="102"/>
        <v>0</v>
      </c>
    </row>
    <row r="44" customFormat="1" spans="1:68">
      <c r="A44" t="s">
        <v>497</v>
      </c>
      <c r="B44" s="12">
        <f>(Isl*(Rsl_int+R_sl)*Fsw)</f>
        <v>60200</v>
      </c>
      <c r="C44" t="s">
        <v>244</v>
      </c>
      <c r="E44" t="s">
        <v>320</v>
      </c>
      <c r="N44" s="7">
        <v>26</v>
      </c>
      <c r="O44" s="18">
        <f t="shared" si="62"/>
        <v>18.1970085860998</v>
      </c>
      <c r="P44" s="86" t="str">
        <f t="shared" si="50"/>
        <v>163,636363636364</v>
      </c>
      <c r="Q44" s="4" t="str">
        <f t="shared" si="51"/>
        <v>1+0,698483990294943i</v>
      </c>
      <c r="R44" s="4">
        <f t="shared" si="63"/>
        <v>1.21978681936572</v>
      </c>
      <c r="S44" s="4">
        <f t="shared" si="64"/>
        <v>0.609707783394734</v>
      </c>
      <c r="T44" s="4" t="str">
        <f t="shared" si="52"/>
        <v>1+0,00179277557509035i</v>
      </c>
      <c r="U44" s="4">
        <f t="shared" si="65"/>
        <v>1.00000160702084</v>
      </c>
      <c r="V44" s="4">
        <f t="shared" si="66"/>
        <v>0.00179277365440737</v>
      </c>
      <c r="W44" t="str">
        <f t="shared" si="53"/>
        <v>1-0,00171502765474205i</v>
      </c>
      <c r="X44" s="4">
        <f t="shared" si="67"/>
        <v>1.00000147065885</v>
      </c>
      <c r="Y44" s="4">
        <f t="shared" si="68"/>
        <v>-0.00171502597326339</v>
      </c>
      <c r="Z44" t="str">
        <f t="shared" si="54"/>
        <v>0,999999997296889+0,000355255728482281i</v>
      </c>
      <c r="AA44" s="4">
        <f t="shared" si="69"/>
        <v>1.0000000604002</v>
      </c>
      <c r="AB44" s="4">
        <f t="shared" si="70"/>
        <v>0.000355255714497368</v>
      </c>
      <c r="AC44" s="67" t="str">
        <f t="shared" si="71"/>
        <v>109,958561990464-76,8497056880838i</v>
      </c>
      <c r="AD44" s="68">
        <f t="shared" si="72"/>
        <v>42.5519438826995</v>
      </c>
      <c r="AE44" s="31">
        <f t="shared" si="73"/>
        <v>-34.9495827638869</v>
      </c>
      <c r="AF44" s="32" t="str">
        <f t="shared" si="74"/>
        <v>748,315388573934</v>
      </c>
      <c r="AG44" s="32" t="str">
        <f t="shared" si="55"/>
        <v>1+0,569135103203287i</v>
      </c>
      <c r="AH44" s="32">
        <f t="shared" si="75"/>
        <v>1.15061495110146</v>
      </c>
      <c r="AI44" s="32">
        <f t="shared" si="76"/>
        <v>0.517415483986253</v>
      </c>
      <c r="AJ44" s="32" t="str">
        <f t="shared" si="56"/>
        <v>1+0,00179277557509035i</v>
      </c>
      <c r="AK44" s="32">
        <f t="shared" si="77"/>
        <v>1.00000160702084</v>
      </c>
      <c r="AL44" s="32">
        <f t="shared" si="78"/>
        <v>0.00179277365440737</v>
      </c>
      <c r="AM44" s="32" t="str">
        <f t="shared" si="57"/>
        <v>1-0,000305573613947008i</v>
      </c>
      <c r="AN44" s="32">
        <f t="shared" si="79"/>
        <v>1.00000004668762</v>
      </c>
      <c r="AO44" s="32">
        <f t="shared" si="80"/>
        <v>-0.000305573604436006</v>
      </c>
      <c r="AP44" s="30" t="str">
        <f t="shared" si="81"/>
        <v>565,708009434533-320,851390219008i</v>
      </c>
      <c r="AQ44" s="32">
        <f t="shared" si="82"/>
        <v>56.2631076303059</v>
      </c>
      <c r="AR44" s="31">
        <f t="shared" si="83"/>
        <v>-29.5605132009761</v>
      </c>
      <c r="AS44" t="str">
        <f t="shared" si="58"/>
        <v>-0,0000504684572142411</v>
      </c>
      <c r="AT44" t="str">
        <f t="shared" si="59"/>
        <v>0,0000256911142680358i</v>
      </c>
      <c r="AU44">
        <f t="shared" si="84"/>
        <v>2.56911142680358e-5</v>
      </c>
      <c r="AV44">
        <f t="shared" si="85"/>
        <v>1.5707963267949</v>
      </c>
      <c r="AW44" t="str">
        <f t="shared" si="60"/>
        <v>1+0,00131533792835134i</v>
      </c>
      <c r="AX44">
        <f t="shared" si="86"/>
        <v>1.00000086505656</v>
      </c>
      <c r="AY44">
        <f t="shared" si="87"/>
        <v>0.00131533716979066</v>
      </c>
      <c r="AZ44" t="str">
        <f t="shared" si="61"/>
        <v>1+0,0628843473405416i</v>
      </c>
      <c r="BA44">
        <f t="shared" si="88"/>
        <v>1.00197526972498</v>
      </c>
      <c r="BB44">
        <f t="shared" si="89"/>
        <v>0.0628016526421002</v>
      </c>
      <c r="BC44" s="30" t="str">
        <f t="shared" si="90"/>
        <v>-0,120947947561273+1,96459148563264i</v>
      </c>
      <c r="BD44" s="32">
        <f t="shared" si="91"/>
        <v>5.88187430006915</v>
      </c>
      <c r="BE44" s="31">
        <f t="shared" si="92"/>
        <v>93.5229063743733</v>
      </c>
      <c r="BF44" s="30" t="str">
        <f t="shared" si="93"/>
        <v>137,679015078648+225,318468832536i</v>
      </c>
      <c r="BG44" s="68">
        <f t="shared" si="94"/>
        <v>48.4338181827687</v>
      </c>
      <c r="BH44" s="31">
        <f t="shared" si="95"/>
        <v>58.5733236104864</v>
      </c>
      <c r="BI44" s="30" t="str">
        <f t="shared" si="96"/>
        <v>561,920686717579+1150,19145580844i</v>
      </c>
      <c r="BJ44" s="68">
        <f t="shared" si="97"/>
        <v>62.1449819303751</v>
      </c>
      <c r="BK44" s="31">
        <f t="shared" si="98"/>
        <v>63.9623931733971</v>
      </c>
      <c r="BL44" s="32">
        <f t="shared" si="99"/>
        <v>48.4338181827687</v>
      </c>
      <c r="BM44" s="31">
        <f t="shared" si="100"/>
        <v>58.5733236104864</v>
      </c>
      <c r="BO44">
        <f t="shared" si="101"/>
        <v>0</v>
      </c>
      <c r="BP44">
        <f t="shared" si="102"/>
        <v>0</v>
      </c>
    </row>
    <row r="45" spans="1:68">
      <c r="A45" t="s">
        <v>498</v>
      </c>
      <c r="B45" s="12">
        <f>(R_cs*VIN_var*Acs)/Lm</f>
        <v>4000</v>
      </c>
      <c r="C45" t="s">
        <v>244</v>
      </c>
      <c r="E45" t="s">
        <v>322</v>
      </c>
      <c r="N45" s="7">
        <v>27</v>
      </c>
      <c r="O45" s="18">
        <f t="shared" si="62"/>
        <v>18.6208713666287</v>
      </c>
      <c r="P45" s="86" t="str">
        <f t="shared" si="50"/>
        <v>163,636363636364</v>
      </c>
      <c r="Q45" s="4" t="str">
        <f t="shared" si="51"/>
        <v>1+0,714753772489113i</v>
      </c>
      <c r="R45" s="4">
        <f t="shared" si="63"/>
        <v>1.22917572189147</v>
      </c>
      <c r="S45" s="4">
        <f t="shared" si="64"/>
        <v>0.620559347808019</v>
      </c>
      <c r="T45" s="4" t="str">
        <f t="shared" si="52"/>
        <v>1+0,00183453468272205i</v>
      </c>
      <c r="U45" s="4">
        <f t="shared" si="65"/>
        <v>1.00000168275734</v>
      </c>
      <c r="V45" s="4">
        <f t="shared" si="66"/>
        <v>0.00183453262467334</v>
      </c>
      <c r="W45" t="str">
        <f t="shared" si="53"/>
        <v>1-0,00175497578066523i</v>
      </c>
      <c r="X45" s="4">
        <f t="shared" si="67"/>
        <v>1.00000153996881</v>
      </c>
      <c r="Y45" s="4">
        <f t="shared" si="68"/>
        <v>-0.00175497397892853</v>
      </c>
      <c r="Z45" t="str">
        <f t="shared" si="54"/>
        <v>0,999999997169495+0,000363530697423512i</v>
      </c>
      <c r="AA45" s="4">
        <f t="shared" si="69"/>
        <v>1.00000006324678</v>
      </c>
      <c r="AB45" s="4">
        <f t="shared" si="70"/>
        <v>0.000363530682438408</v>
      </c>
      <c r="AC45" s="67" t="str">
        <f t="shared" si="71"/>
        <v>108,284194300408-77,4430046748107i</v>
      </c>
      <c r="AD45" s="68">
        <f t="shared" si="72"/>
        <v>42.485344368049</v>
      </c>
      <c r="AE45" s="31">
        <f t="shared" si="73"/>
        <v>-35.5717019659928</v>
      </c>
      <c r="AF45" s="32" t="str">
        <f t="shared" si="74"/>
        <v>748,315388573934</v>
      </c>
      <c r="AG45" s="32" t="str">
        <f t="shared" si="55"/>
        <v>1+0,582391962768906i</v>
      </c>
      <c r="AH45" s="32">
        <f t="shared" si="75"/>
        <v>1.15722962211387</v>
      </c>
      <c r="AI45" s="32">
        <f t="shared" si="76"/>
        <v>0.527371790904592</v>
      </c>
      <c r="AJ45" s="32" t="str">
        <f t="shared" si="56"/>
        <v>1+0,00183453468272205i</v>
      </c>
      <c r="AK45" s="32">
        <f t="shared" si="77"/>
        <v>1.00000168275734</v>
      </c>
      <c r="AL45" s="32">
        <f t="shared" si="78"/>
        <v>0.00183453262467334</v>
      </c>
      <c r="AM45" s="32" t="str">
        <f t="shared" si="57"/>
        <v>1-0,000312691337777877i</v>
      </c>
      <c r="AN45" s="32">
        <f t="shared" si="79"/>
        <v>1.00000004888794</v>
      </c>
      <c r="AO45" s="32">
        <f t="shared" si="80"/>
        <v>-0.000312691327586655</v>
      </c>
      <c r="AP45" s="30" t="str">
        <f t="shared" si="81"/>
        <v>559,281675347535-324,582333852313i</v>
      </c>
      <c r="AQ45" s="32">
        <f t="shared" si="82"/>
        <v>56.2133177274208</v>
      </c>
      <c r="AR45" s="31">
        <f t="shared" si="83"/>
        <v>-30.1289827696771</v>
      </c>
      <c r="AS45" t="str">
        <f t="shared" si="58"/>
        <v>-0,0000504684572142411</v>
      </c>
      <c r="AT45" t="str">
        <f t="shared" si="59"/>
        <v>0,0000262895371943653i</v>
      </c>
      <c r="AU45">
        <f t="shared" si="84"/>
        <v>2.62895371943653e-5</v>
      </c>
      <c r="AV45">
        <f t="shared" si="85"/>
        <v>1.5707963267949</v>
      </c>
      <c r="AW45" t="str">
        <f t="shared" si="60"/>
        <v>1+0,00134597608456301i</v>
      </c>
      <c r="AX45">
        <f t="shared" si="86"/>
        <v>1.0000009058254</v>
      </c>
      <c r="AY45">
        <f t="shared" si="87"/>
        <v>0.00134597527175064</v>
      </c>
      <c r="AZ45" t="str">
        <f t="shared" si="61"/>
        <v>1+0,064349111957725i</v>
      </c>
      <c r="BA45">
        <f t="shared" si="88"/>
        <v>1.00206826524431</v>
      </c>
      <c r="BB45">
        <f t="shared" si="89"/>
        <v>0.0642605128665199</v>
      </c>
      <c r="BC45" s="30" t="str">
        <f t="shared" si="90"/>
        <v>-0,120947937699466+1,91987925061377i</v>
      </c>
      <c r="BD45" s="32">
        <f t="shared" si="91"/>
        <v>5.68268006498886</v>
      </c>
      <c r="BE45" s="31">
        <f t="shared" si="92"/>
        <v>93.6047374741974</v>
      </c>
      <c r="BF45" s="30" t="str">
        <f t="shared" si="93"/>
        <v>135,584467794272+217,259149511452i</v>
      </c>
      <c r="BG45" s="68">
        <f t="shared" si="94"/>
        <v>48.1680244330379</v>
      </c>
      <c r="BH45" s="31">
        <f t="shared" si="95"/>
        <v>58.0330355082046</v>
      </c>
      <c r="BI45" s="30" t="str">
        <f t="shared" si="96"/>
        <v>555,514922652461+1113,01084764136i</v>
      </c>
      <c r="BJ45" s="68">
        <f t="shared" si="97"/>
        <v>61.8959977924097</v>
      </c>
      <c r="BK45" s="31">
        <f t="shared" si="98"/>
        <v>63.4757547045204</v>
      </c>
      <c r="BL45" s="32">
        <f t="shared" si="99"/>
        <v>48.1680244330379</v>
      </c>
      <c r="BM45" s="31">
        <f t="shared" si="100"/>
        <v>58.0330355082046</v>
      </c>
      <c r="BO45">
        <f t="shared" si="101"/>
        <v>0</v>
      </c>
      <c r="BP45">
        <f t="shared" si="102"/>
        <v>0</v>
      </c>
    </row>
    <row r="46" spans="1:68">
      <c r="B46" s="12"/>
      <c r="N46" s="7">
        <v>28</v>
      </c>
      <c r="O46" s="18">
        <f t="shared" si="62"/>
        <v>19.0546071796325</v>
      </c>
      <c r="P46" s="86" t="str">
        <f t="shared" si="50"/>
        <v>163,636363636364</v>
      </c>
      <c r="Q46" s="4" t="str">
        <f t="shared" si="51"/>
        <v>1+0,731402526594347i</v>
      </c>
      <c r="R46" s="4">
        <f t="shared" si="63"/>
        <v>1.238930851948</v>
      </c>
      <c r="S46" s="4">
        <f t="shared" si="64"/>
        <v>0.63149209609076</v>
      </c>
      <c r="T46" s="4" t="str">
        <f t="shared" si="52"/>
        <v>1+0,00187726648492549i</v>
      </c>
      <c r="U46" s="4">
        <f t="shared" si="65"/>
        <v>1.00000176206318</v>
      </c>
      <c r="V46" s="4">
        <f t="shared" si="66"/>
        <v>0.00187726427968678</v>
      </c>
      <c r="W46" t="str">
        <f t="shared" si="53"/>
        <v>1-0,00179585441797719i</v>
      </c>
      <c r="X46" s="4">
        <f t="shared" si="67"/>
        <v>1.00000161254525</v>
      </c>
      <c r="Y46" s="4">
        <f t="shared" si="68"/>
        <v>-0.0017958524873817</v>
      </c>
      <c r="Z46" t="str">
        <f t="shared" si="54"/>
        <v>0,999999997036098+0,000371998415152418i</v>
      </c>
      <c r="AA46" s="4">
        <f t="shared" si="69"/>
        <v>1.00000006622751</v>
      </c>
      <c r="AB46" s="4">
        <f t="shared" si="70"/>
        <v>0.000371998399095589</v>
      </c>
      <c r="AC46" s="67" t="str">
        <f t="shared" si="71"/>
        <v>106,584680984918-78,0038556609242i</v>
      </c>
      <c r="AD46" s="68">
        <f t="shared" si="72"/>
        <v>42.4166837768438</v>
      </c>
      <c r="AE46" s="31">
        <f t="shared" si="73"/>
        <v>-36.1984812880224</v>
      </c>
      <c r="AF46" s="32" t="str">
        <f t="shared" si="74"/>
        <v>748,315388573934</v>
      </c>
      <c r="AG46" s="32" t="str">
        <f t="shared" si="55"/>
        <v>1+0,595957614262061i</v>
      </c>
      <c r="AH46" s="32">
        <f t="shared" si="75"/>
        <v>1.1641157493982</v>
      </c>
      <c r="AI46" s="32">
        <f t="shared" si="76"/>
        <v>0.537441856254211</v>
      </c>
      <c r="AJ46" s="32" t="str">
        <f t="shared" si="56"/>
        <v>1+0,00187726648492549i</v>
      </c>
      <c r="AK46" s="32">
        <f t="shared" si="77"/>
        <v>1.00000176206318</v>
      </c>
      <c r="AL46" s="32">
        <f t="shared" si="78"/>
        <v>0.00187726427968678</v>
      </c>
      <c r="AM46" s="32" t="str">
        <f t="shared" si="57"/>
        <v>1-0,000319974854694999i</v>
      </c>
      <c r="AN46" s="32">
        <f t="shared" si="79"/>
        <v>1.00000005119195</v>
      </c>
      <c r="AO46" s="32">
        <f t="shared" si="80"/>
        <v>-0.000319974843774908</v>
      </c>
      <c r="AP46" s="30" t="str">
        <f t="shared" si="81"/>
        <v>552,70765573024-328,224990601971i</v>
      </c>
      <c r="AQ46" s="32">
        <f t="shared" si="82"/>
        <v>56.1617859777226</v>
      </c>
      <c r="AR46" s="31">
        <f t="shared" si="83"/>
        <v>-30.7039239848849</v>
      </c>
      <c r="AS46" t="str">
        <f t="shared" si="58"/>
        <v>-0,0000504684572142411</v>
      </c>
      <c r="AT46" t="str">
        <f t="shared" si="59"/>
        <v>0,0000269018991812982i</v>
      </c>
      <c r="AU46">
        <f t="shared" si="84"/>
        <v>2.69018991812982e-5</v>
      </c>
      <c r="AV46">
        <f t="shared" si="85"/>
        <v>1.5707963267949</v>
      </c>
      <c r="AW46" t="str">
        <f t="shared" si="60"/>
        <v>1+0,00137732789511083i</v>
      </c>
      <c r="AX46">
        <f t="shared" si="86"/>
        <v>1.00000094851562</v>
      </c>
      <c r="AY46">
        <f t="shared" si="87"/>
        <v>0.00137732702416673</v>
      </c>
      <c r="AZ46" t="str">
        <f t="shared" si="61"/>
        <v>1+0,0658479953258302i</v>
      </c>
      <c r="BA46">
        <f t="shared" si="88"/>
        <v>1.00216563425834</v>
      </c>
      <c r="BB46">
        <f t="shared" si="89"/>
        <v>0.0657530707656709</v>
      </c>
      <c r="BC46" s="30" t="str">
        <f t="shared" si="90"/>
        <v>-0,12094792737289+1,87618496098494i</v>
      </c>
      <c r="BD46" s="32">
        <f t="shared" si="91"/>
        <v>5.48352364409786</v>
      </c>
      <c r="BE46" s="31">
        <f t="shared" si="92"/>
        <v>93.6884584194039</v>
      </c>
      <c r="BF46" s="30" t="str">
        <f t="shared" si="93"/>
        <v>133,458464635039+209,406980204563i</v>
      </c>
      <c r="BG46" s="68">
        <f t="shared" si="94"/>
        <v>47.9002074209416</v>
      </c>
      <c r="BH46" s="31">
        <f t="shared" si="95"/>
        <v>57.4899771313815</v>
      </c>
      <c r="BI46" s="30" t="str">
        <f t="shared" si="96"/>
        <v>548,96194578314+1076,67992382761i</v>
      </c>
      <c r="BJ46" s="68">
        <f t="shared" si="97"/>
        <v>61.6453096218205</v>
      </c>
      <c r="BK46" s="31">
        <f t="shared" si="98"/>
        <v>62.984534434519</v>
      </c>
      <c r="BL46" s="32">
        <f t="shared" si="99"/>
        <v>47.9002074209416</v>
      </c>
      <c r="BM46" s="31">
        <f t="shared" si="100"/>
        <v>57.4899771313815</v>
      </c>
      <c r="BO46">
        <f t="shared" si="101"/>
        <v>0</v>
      </c>
      <c r="BP46">
        <f t="shared" si="102"/>
        <v>0</v>
      </c>
    </row>
    <row r="47" spans="1:68">
      <c r="A47" t="s">
        <v>499</v>
      </c>
      <c r="B47" s="12">
        <f>2*PI()*Fsw</f>
        <v>4398229.71502571</v>
      </c>
      <c r="C47" t="s">
        <v>324</v>
      </c>
      <c r="N47" s="7">
        <v>29</v>
      </c>
      <c r="O47" s="18">
        <f t="shared" si="62"/>
        <v>19.4984459975805</v>
      </c>
      <c r="P47" s="86" t="str">
        <f t="shared" si="50"/>
        <v>163,636363636364</v>
      </c>
      <c r="Q47" s="4" t="str">
        <f t="shared" si="51"/>
        <v>1+0,748439080000429i</v>
      </c>
      <c r="R47" s="4">
        <f t="shared" si="63"/>
        <v>1.24906407220442</v>
      </c>
      <c r="S47" s="4">
        <f t="shared" si="64"/>
        <v>0.642501371281448</v>
      </c>
      <c r="T47" s="4" t="str">
        <f t="shared" si="52"/>
        <v>1+0,00192099363866777i</v>
      </c>
      <c r="U47" s="4">
        <f t="shared" si="65"/>
        <v>1.00000184510658</v>
      </c>
      <c r="V47" s="4">
        <f t="shared" si="66"/>
        <v>0.00192099127571216</v>
      </c>
      <c r="W47" t="str">
        <f t="shared" si="53"/>
        <v>1-0,00183768524107248i</v>
      </c>
      <c r="X47" s="4">
        <f t="shared" si="67"/>
        <v>1.0000016885421</v>
      </c>
      <c r="Y47" s="4">
        <f t="shared" si="68"/>
        <v>-0.00183768317240233</v>
      </c>
      <c r="Z47" t="str">
        <f t="shared" si="54"/>
        <v>0,999999996896413+0,000380663371365014i</v>
      </c>
      <c r="AA47" s="4">
        <f t="shared" si="69"/>
        <v>1.00000006934871</v>
      </c>
      <c r="AB47" s="4">
        <f t="shared" si="70"/>
        <v>0.000380663354159813</v>
      </c>
      <c r="AC47" s="67" t="str">
        <f t="shared" si="71"/>
        <v>104,861292900556-78,5309478859547i</v>
      </c>
      <c r="AD47" s="68">
        <f t="shared" si="72"/>
        <v>42.3459321576095</v>
      </c>
      <c r="AE47" s="31">
        <f t="shared" si="73"/>
        <v>-36.8296541066847</v>
      </c>
      <c r="AF47" s="32" t="str">
        <f t="shared" si="74"/>
        <v>748,315388573934</v>
      </c>
      <c r="AG47" s="32" t="str">
        <f t="shared" si="55"/>
        <v>1+0,60983925037072i</v>
      </c>
      <c r="AH47" s="32">
        <f t="shared" si="75"/>
        <v>1.17128301929667</v>
      </c>
      <c r="AI47" s="32">
        <f t="shared" si="76"/>
        <v>0.547622849429513</v>
      </c>
      <c r="AJ47" s="32" t="str">
        <f t="shared" si="56"/>
        <v>1+0,00192099363866777i</v>
      </c>
      <c r="AK47" s="32">
        <f t="shared" si="77"/>
        <v>1.00000184510658</v>
      </c>
      <c r="AL47" s="32">
        <f t="shared" si="78"/>
        <v>0.00192099127571216</v>
      </c>
      <c r="AM47" s="32" t="str">
        <f t="shared" si="57"/>
        <v>1-0,000327428026515443i</v>
      </c>
      <c r="AN47" s="32">
        <f t="shared" si="79"/>
        <v>1.00000005360455</v>
      </c>
      <c r="AO47" s="32">
        <f t="shared" si="80"/>
        <v>-0.000327428014814354</v>
      </c>
      <c r="AP47" s="30" t="str">
        <f t="shared" si="81"/>
        <v>545,988009871251-331,772428981009i</v>
      </c>
      <c r="AQ47" s="32">
        <f t="shared" si="82"/>
        <v>56.1084730746829</v>
      </c>
      <c r="AR47" s="31">
        <f t="shared" si="83"/>
        <v>-31.2851735880027</v>
      </c>
      <c r="AS47" t="str">
        <f t="shared" si="58"/>
        <v>-0,0000504684572142411</v>
      </c>
      <c r="AT47" t="str">
        <f t="shared" si="59"/>
        <v>0,0000275285249112658i</v>
      </c>
      <c r="AU47">
        <f t="shared" si="84"/>
        <v>2.75285249112658e-5</v>
      </c>
      <c r="AV47">
        <f t="shared" si="85"/>
        <v>1.5707963267949</v>
      </c>
      <c r="AW47" t="str">
        <f t="shared" si="60"/>
        <v>1+0,0014094099831397i</v>
      </c>
      <c r="AX47">
        <f t="shared" si="86"/>
        <v>1.00000099321776</v>
      </c>
      <c r="AY47">
        <f t="shared" si="87"/>
        <v>0.00140940904990633</v>
      </c>
      <c r="AZ47" t="str">
        <f t="shared" si="61"/>
        <v>1+0,0673817921726575i</v>
      </c>
      <c r="BA47">
        <f t="shared" si="88"/>
        <v>1.00226758199415</v>
      </c>
      <c r="BB47">
        <f t="shared" si="89"/>
        <v>0.0672800910984036</v>
      </c>
      <c r="BC47" s="30" t="str">
        <f t="shared" si="90"/>
        <v>-0,120947916559638+1,83348544945533i</v>
      </c>
      <c r="BD47" s="32">
        <f t="shared" si="91"/>
        <v>5.28440680412286</v>
      </c>
      <c r="BE47" s="31">
        <f t="shared" si="92"/>
        <v>93.7741120750271</v>
      </c>
      <c r="BF47" s="30" t="str">
        <f t="shared" si="93"/>
        <v>131,302595376761+201,759809276503i</v>
      </c>
      <c r="BG47" s="68">
        <f t="shared" si="94"/>
        <v>47.6303389617324</v>
      </c>
      <c r="BH47" s="31">
        <f t="shared" si="95"/>
        <v>56.9444579683423</v>
      </c>
      <c r="BI47" s="30" t="str">
        <f t="shared" si="96"/>
        <v>542,263808806661+1041,1882557332i</v>
      </c>
      <c r="BJ47" s="68">
        <f t="shared" si="97"/>
        <v>61.3928798788058</v>
      </c>
      <c r="BK47" s="31">
        <f t="shared" si="98"/>
        <v>62.4889384870245</v>
      </c>
      <c r="BL47" s="32">
        <f t="shared" si="99"/>
        <v>47.6303389617324</v>
      </c>
      <c r="BM47" s="31">
        <f t="shared" si="100"/>
        <v>56.9444579683423</v>
      </c>
      <c r="BO47">
        <f t="shared" si="101"/>
        <v>0</v>
      </c>
      <c r="BP47">
        <f t="shared" si="102"/>
        <v>0</v>
      </c>
    </row>
    <row r="48" spans="1:68">
      <c r="A48" t="s">
        <v>500</v>
      </c>
      <c r="B48" s="12">
        <f>1/(PI()*(((1-DC_VIN_Var)*(1+(B44/B45)))-0.5))</f>
        <v>0.146349372958065</v>
      </c>
      <c r="N48" s="7">
        <v>30</v>
      </c>
      <c r="O48" s="18">
        <f t="shared" si="62"/>
        <v>19.9526231496888</v>
      </c>
      <c r="P48" s="86" t="str">
        <f t="shared" si="50"/>
        <v>163,636363636364</v>
      </c>
      <c r="Q48" s="4" t="str">
        <f t="shared" si="51"/>
        <v>1+0,765872465713495i</v>
      </c>
      <c r="R48" s="4">
        <f t="shared" si="63"/>
        <v>1.25958748554361</v>
      </c>
      <c r="S48" s="4">
        <f t="shared" si="64"/>
        <v>0.653582336023623</v>
      </c>
      <c r="T48" s="4" t="str">
        <f t="shared" si="52"/>
        <v>1+0,00196573932866464i</v>
      </c>
      <c r="U48" s="4">
        <f t="shared" si="65"/>
        <v>1.00000193206369</v>
      </c>
      <c r="V48" s="4">
        <f t="shared" si="66"/>
        <v>0.00196573679671235</v>
      </c>
      <c r="W48" t="str">
        <f t="shared" si="53"/>
        <v>1-0,00188049042920724i</v>
      </c>
      <c r="X48" s="4">
        <f t="shared" si="67"/>
        <v>1.00000176812056</v>
      </c>
      <c r="Y48" s="4">
        <f t="shared" si="68"/>
        <v>-0.00188048821258745</v>
      </c>
      <c r="Z48" t="str">
        <f t="shared" si="54"/>
        <v>0,999999996750146+0,000389530160335786i</v>
      </c>
      <c r="AA48" s="4">
        <f t="shared" si="69"/>
        <v>1.00000007261702</v>
      </c>
      <c r="AB48" s="4">
        <f t="shared" si="70"/>
        <v>0.00038953014190008</v>
      </c>
      <c r="AC48" s="67" t="str">
        <f t="shared" si="71"/>
        <v>103,115388146372-79,023028280156i</v>
      </c>
      <c r="AD48" s="68">
        <f t="shared" si="72"/>
        <v>42.273061165251</v>
      </c>
      <c r="AE48" s="31">
        <f t="shared" si="73"/>
        <v>-37.464943467499</v>
      </c>
      <c r="AF48" s="32" t="str">
        <f t="shared" si="74"/>
        <v>748,315388573934</v>
      </c>
      <c r="AG48" s="32" t="str">
        <f t="shared" si="55"/>
        <v>1+0,624044231322107i</v>
      </c>
      <c r="AH48" s="32">
        <f t="shared" si="75"/>
        <v>1.17874136376323</v>
      </c>
      <c r="AI48" s="32">
        <f t="shared" si="76"/>
        <v>0.557911725761442</v>
      </c>
      <c r="AJ48" s="32" t="str">
        <f t="shared" si="56"/>
        <v>1+0,00196573932866464i</v>
      </c>
      <c r="AK48" s="32">
        <f t="shared" si="77"/>
        <v>1.00000193206369</v>
      </c>
      <c r="AL48" s="32">
        <f t="shared" si="78"/>
        <v>0.00196573679671235</v>
      </c>
      <c r="AM48" s="32" t="str">
        <f t="shared" si="57"/>
        <v>1-0,00033505480500957i</v>
      </c>
      <c r="AN48" s="32">
        <f t="shared" si="79"/>
        <v>1.00000005613086</v>
      </c>
      <c r="AO48" s="32">
        <f t="shared" si="80"/>
        <v>-0.000335054792471628</v>
      </c>
      <c r="AP48" s="30" t="str">
        <f t="shared" si="81"/>
        <v>539,125204738444-335,217707654416i</v>
      </c>
      <c r="AQ48" s="32">
        <f t="shared" si="82"/>
        <v>56.0533403180807</v>
      </c>
      <c r="AR48" s="31">
        <f t="shared" si="83"/>
        <v>-31.8725560304199</v>
      </c>
      <c r="AS48" t="str">
        <f t="shared" si="58"/>
        <v>-0,0000504684572142411</v>
      </c>
      <c r="AT48" t="str">
        <f t="shared" si="59"/>
        <v>0,0000281697466295244i</v>
      </c>
      <c r="AU48">
        <f t="shared" si="84"/>
        <v>2.81697466295244e-5</v>
      </c>
      <c r="AV48">
        <f t="shared" si="85"/>
        <v>1.5707963267949</v>
      </c>
      <c r="AW48" t="str">
        <f t="shared" si="60"/>
        <v>1+0,00144223935899739i</v>
      </c>
      <c r="AX48">
        <f t="shared" si="86"/>
        <v>1.00000104002664</v>
      </c>
      <c r="AY48">
        <f t="shared" si="87"/>
        <v>0.00144223835901988</v>
      </c>
      <c r="AZ48" t="str">
        <f t="shared" si="61"/>
        <v>1+0,0689513157375987i</v>
      </c>
      <c r="BA48">
        <f t="shared" si="88"/>
        <v>1.00237432326549</v>
      </c>
      <c r="BB48">
        <f t="shared" si="89"/>
        <v>0.0688423550095405</v>
      </c>
      <c r="BC48" s="30" t="str">
        <f t="shared" si="90"/>
        <v>-0,120947905236775+1,79175807617863i</v>
      </c>
      <c r="BD48" s="32">
        <f t="shared" si="91"/>
        <v>5.08533139357803</v>
      </c>
      <c r="BE48" s="31">
        <f t="shared" si="92"/>
        <v>93.8617422227642</v>
      </c>
      <c r="BF48" s="30" t="str">
        <f t="shared" si="93"/>
        <v>129,118558931081+194,315499225507i</v>
      </c>
      <c r="BG48" s="68">
        <f t="shared" si="94"/>
        <v>47.358392558829</v>
      </c>
      <c r="BH48" s="31">
        <f t="shared" si="95"/>
        <v>56.3967987552652</v>
      </c>
      <c r="BI48" s="30" t="str">
        <f t="shared" si="96"/>
        <v>535,422970794425+1006,52581920064i</v>
      </c>
      <c r="BJ48" s="68">
        <f t="shared" si="97"/>
        <v>61.1386717116587</v>
      </c>
      <c r="BK48" s="31">
        <f t="shared" si="98"/>
        <v>61.9891861923443</v>
      </c>
      <c r="BL48" s="32">
        <f t="shared" si="99"/>
        <v>47.358392558829</v>
      </c>
      <c r="BM48" s="31">
        <f t="shared" si="100"/>
        <v>56.3967987552652</v>
      </c>
      <c r="BO48">
        <f t="shared" si="101"/>
        <v>0</v>
      </c>
      <c r="BP48">
        <f t="shared" si="102"/>
        <v>0</v>
      </c>
    </row>
    <row r="49" spans="1:68">
      <c r="N49" s="7">
        <v>31</v>
      </c>
      <c r="O49" s="18">
        <f t="shared" si="62"/>
        <v>20.4173794466953</v>
      </c>
      <c r="P49" s="86" t="str">
        <f t="shared" si="50"/>
        <v>163,636363636364</v>
      </c>
      <c r="Q49" s="4" t="str">
        <f t="shared" si="51"/>
        <v>1+0,783711927145399i</v>
      </c>
      <c r="R49" s="4">
        <f t="shared" si="63"/>
        <v>1.2705134335181</v>
      </c>
      <c r="S49" s="4">
        <f t="shared" si="64"/>
        <v>0.66472998116577</v>
      </c>
      <c r="T49" s="4" t="str">
        <f t="shared" si="52"/>
        <v>1+0,00201152727967319i</v>
      </c>
      <c r="U49" s="4">
        <f t="shared" si="65"/>
        <v>1.00000202311895</v>
      </c>
      <c r="V49" s="4">
        <f t="shared" si="66"/>
        <v>0.00201152456663772</v>
      </c>
      <c r="W49" t="str">
        <f t="shared" si="53"/>
        <v>1-0,00192429267825879i</v>
      </c>
      <c r="X49" s="4">
        <f t="shared" si="67"/>
        <v>1.00000185144944</v>
      </c>
      <c r="Y49" s="4">
        <f t="shared" si="68"/>
        <v>-0.00192429030310813</v>
      </c>
      <c r="Z49" t="str">
        <f t="shared" si="54"/>
        <v>0,999999996596985+0,000398603483353607i</v>
      </c>
      <c r="AA49" s="4">
        <f t="shared" si="69"/>
        <v>1.00000007603935</v>
      </c>
      <c r="AB49" s="4">
        <f t="shared" si="70"/>
        <v>0.000398603463599393</v>
      </c>
      <c r="AC49" s="67" t="str">
        <f t="shared" si="71"/>
        <v>101,348408861065-79,4789083379897i</v>
      </c>
      <c r="AD49" s="68">
        <f t="shared" si="72"/>
        <v>42.1980441657537</v>
      </c>
      <c r="AE49" s="31">
        <f t="shared" si="73"/>
        <v>-38.1040625776436</v>
      </c>
      <c r="AF49" s="32" t="str">
        <f t="shared" si="74"/>
        <v>748,315388573934</v>
      </c>
      <c r="AG49" s="32" t="str">
        <f t="shared" si="55"/>
        <v>1+0,63858008878514i</v>
      </c>
      <c r="AH49" s="32">
        <f t="shared" si="75"/>
        <v>1.18650096072141</v>
      </c>
      <c r="AI49" s="32">
        <f t="shared" si="76"/>
        <v>0.568305226632145</v>
      </c>
      <c r="AJ49" s="32" t="str">
        <f t="shared" si="56"/>
        <v>1+0,00201152727967319i</v>
      </c>
      <c r="AK49" s="32">
        <f t="shared" si="77"/>
        <v>1.00000202311895</v>
      </c>
      <c r="AL49" s="32">
        <f t="shared" si="78"/>
        <v>0.00201152456663772</v>
      </c>
      <c r="AM49" s="32" t="str">
        <f t="shared" si="57"/>
        <v>1-0,000342859233996286i</v>
      </c>
      <c r="AN49" s="32">
        <f t="shared" si="79"/>
        <v>1.00000005877623</v>
      </c>
      <c r="AO49" s="32">
        <f t="shared" si="80"/>
        <v>-0.000342859220561639</v>
      </c>
      <c r="AP49" s="30" t="str">
        <f t="shared" si="81"/>
        <v>532,122123356298-338,553902800401i</v>
      </c>
      <c r="AQ49" s="32">
        <f t="shared" si="82"/>
        <v>55.9963497244166</v>
      </c>
      <c r="AR49" s="31">
        <f t="shared" si="83"/>
        <v>-32.4658834794978</v>
      </c>
      <c r="AS49" t="str">
        <f t="shared" si="58"/>
        <v>-0,0000504684572142411</v>
      </c>
      <c r="AT49" t="str">
        <f t="shared" si="59"/>
        <v>0,0000288259043203168i</v>
      </c>
      <c r="AU49">
        <f t="shared" si="84"/>
        <v>2.88259043203168e-5</v>
      </c>
      <c r="AV49">
        <f t="shared" si="85"/>
        <v>1.5707963267949</v>
      </c>
      <c r="AW49" t="str">
        <f t="shared" si="60"/>
        <v>1+0,00147583342925352i</v>
      </c>
      <c r="AX49">
        <f t="shared" si="86"/>
        <v>1.00000108904156</v>
      </c>
      <c r="AY49">
        <f t="shared" si="87"/>
        <v>0.00147583235775837</v>
      </c>
      <c r="AZ49" t="str">
        <f t="shared" si="61"/>
        <v>1+0,0705573982028222i</v>
      </c>
      <c r="BA49">
        <f t="shared" si="88"/>
        <v>1.00248608291644</v>
      </c>
      <c r="BB49">
        <f t="shared" si="89"/>
        <v>0.0704406603111867</v>
      </c>
      <c r="BC49" s="30" t="str">
        <f t="shared" si="90"/>
        <v>-0,120947893380284+1,7509807167491i</v>
      </c>
      <c r="BD49" s="32">
        <f t="shared" si="91"/>
        <v>4.88629934647871</v>
      </c>
      <c r="BE49" s="31">
        <f t="shared" si="92"/>
        <v>93.9513935765773</v>
      </c>
      <c r="BF49" s="30" t="str">
        <f t="shared" si="93"/>
        <v>126,9081593389+187,071916120573i</v>
      </c>
      <c r="BG49" s="68">
        <f t="shared" si="94"/>
        <v>47.0843435122325</v>
      </c>
      <c r="BH49" s="31">
        <f t="shared" si="95"/>
        <v>55.8473309989336</v>
      </c>
      <c r="BI49" s="30" t="str">
        <f t="shared" si="96"/>
        <v>528,442305542663+972,682958291845i</v>
      </c>
      <c r="BJ49" s="68">
        <f t="shared" si="97"/>
        <v>60.8826490708953</v>
      </c>
      <c r="BK49" s="31">
        <f t="shared" si="98"/>
        <v>61.4855100970794</v>
      </c>
      <c r="BL49" s="32">
        <f t="shared" si="99"/>
        <v>47.0843435122325</v>
      </c>
      <c r="BM49" s="31">
        <f t="shared" si="100"/>
        <v>55.8473309989336</v>
      </c>
      <c r="BO49">
        <f t="shared" si="101"/>
        <v>0</v>
      </c>
      <c r="BP49">
        <f t="shared" si="102"/>
        <v>0</v>
      </c>
    </row>
    <row r="50" ht="15.75" spans="1:68">
      <c r="A50" s="87" t="s">
        <v>438</v>
      </c>
      <c r="N50" s="7">
        <v>32</v>
      </c>
      <c r="O50" s="18">
        <f t="shared" si="62"/>
        <v>20.8929613085404</v>
      </c>
      <c r="P50" s="86" t="str">
        <f t="shared" si="50"/>
        <v>163,636363636364</v>
      </c>
      <c r="Q50" s="4" t="str">
        <f t="shared" si="51"/>
        <v>1+0,801966923014736i</v>
      </c>
      <c r="R50" s="4">
        <f t="shared" si="63"/>
        <v>1.28185449471058</v>
      </c>
      <c r="S50" s="4">
        <f t="shared" si="64"/>
        <v>0.675939135315382</v>
      </c>
      <c r="T50" s="4" t="str">
        <f t="shared" si="52"/>
        <v>1+0,00205838176907116i</v>
      </c>
      <c r="U50" s="4">
        <f t="shared" si="65"/>
        <v>1.00000211846551</v>
      </c>
      <c r="V50" s="4">
        <f t="shared" si="66"/>
        <v>0.00205837886200162</v>
      </c>
      <c r="W50" t="str">
        <f t="shared" si="53"/>
        <v>1-0,0019691152127594i</v>
      </c>
      <c r="X50" s="4">
        <f t="shared" si="67"/>
        <v>1.00000193870548</v>
      </c>
      <c r="Y50" s="4">
        <f t="shared" si="68"/>
        <v>-0.00196911266773988</v>
      </c>
      <c r="Z50" t="str">
        <f t="shared" si="54"/>
        <v>0,999999996436605+0,000407888151214446i</v>
      </c>
      <c r="AA50" s="4">
        <f t="shared" si="69"/>
        <v>1.00000007962297</v>
      </c>
      <c r="AB50" s="4">
        <f t="shared" si="70"/>
        <v>0.000407888130047424</v>
      </c>
      <c r="AC50" s="67" t="str">
        <f t="shared" si="71"/>
        <v>99,5618773881436-79,8974707999867i</v>
      </c>
      <c r="AD50" s="68">
        <f t="shared" si="72"/>
        <v>42.1208563365871</v>
      </c>
      <c r="AE50" s="31">
        <f t="shared" si="73"/>
        <v>-38.7467153534744</v>
      </c>
      <c r="AF50" s="32" t="str">
        <f t="shared" si="74"/>
        <v>748,315388573934</v>
      </c>
      <c r="AG50" s="32" t="str">
        <f t="shared" si="55"/>
        <v>1+0,653454529863859i</v>
      </c>
      <c r="AH50" s="32">
        <f t="shared" si="75"/>
        <v>1.19457223414894</v>
      </c>
      <c r="AI50" s="32">
        <f t="shared" si="76"/>
        <v>0.578799880454254</v>
      </c>
      <c r="AJ50" s="32" t="str">
        <f t="shared" si="56"/>
        <v>1+0,00205838176907116i</v>
      </c>
      <c r="AK50" s="32">
        <f t="shared" si="77"/>
        <v>1.00000211846551</v>
      </c>
      <c r="AL50" s="32">
        <f t="shared" si="78"/>
        <v>0.00205837886200162</v>
      </c>
      <c r="AM50" s="32" t="str">
        <f t="shared" si="57"/>
        <v>1-0,000350845451487149i</v>
      </c>
      <c r="AN50" s="32">
        <f t="shared" si="79"/>
        <v>1.00000006154626</v>
      </c>
      <c r="AO50" s="32">
        <f t="shared" si="80"/>
        <v>-0.000350845437091665</v>
      </c>
      <c r="AP50" s="30" t="str">
        <f t="shared" si="81"/>
        <v>524,982071124635-341,774136770706i</v>
      </c>
      <c r="AQ50" s="32">
        <f t="shared" si="82"/>
        <v>55.9374641393011</v>
      </c>
      <c r="AR50" s="31">
        <f t="shared" si="83"/>
        <v>-33.0649558740805</v>
      </c>
      <c r="AS50" t="str">
        <f t="shared" si="58"/>
        <v>-0,0000504684572142411</v>
      </c>
      <c r="AT50" t="str">
        <f t="shared" si="59"/>
        <v>0,0000294973458871357i</v>
      </c>
      <c r="AU50">
        <f t="shared" si="84"/>
        <v>2.94973458871357e-5</v>
      </c>
      <c r="AV50">
        <f t="shared" si="85"/>
        <v>1.5707963267949</v>
      </c>
      <c r="AW50" t="str">
        <f t="shared" si="60"/>
        <v>1+0,0015102100059288i</v>
      </c>
      <c r="AX50">
        <f t="shared" si="86"/>
        <v>1.00000114036648</v>
      </c>
      <c r="AY50">
        <f t="shared" si="87"/>
        <v>0.00151020885780114</v>
      </c>
      <c r="AZ50" t="str">
        <f t="shared" si="61"/>
        <v>1+0,0722008911345111i</v>
      </c>
      <c r="BA50">
        <f t="shared" si="88"/>
        <v>1.00260309628517</v>
      </c>
      <c r="BB50">
        <f t="shared" si="89"/>
        <v>0.0720758217636342</v>
      </c>
      <c r="BC50" s="30" t="str">
        <f t="shared" si="90"/>
        <v>-0,120947880965018+1,71113175047091i</v>
      </c>
      <c r="BD50" s="32">
        <f t="shared" si="91"/>
        <v>4.68731268621661</v>
      </c>
      <c r="BE50" s="31">
        <f t="shared" si="92"/>
        <v>94.0431117982581</v>
      </c>
      <c r="BF50" s="30" t="str">
        <f t="shared" si="93"/>
        <v>124,673300973185+180,026919323067i</v>
      </c>
      <c r="BG50" s="68">
        <f t="shared" si="94"/>
        <v>46.8081690228037</v>
      </c>
      <c r="BH50" s="31">
        <f t="shared" si="95"/>
        <v>55.2963964447836</v>
      </c>
      <c r="BI50" s="30" t="str">
        <f t="shared" ref="BI50:BI113" si="103">IMPRODUCT(AP50,BC50)</f>
        <v>521,325107870991+939,650347940406i</v>
      </c>
      <c r="BJ50" s="68">
        <f t="shared" si="97"/>
        <v>60.6247768255177</v>
      </c>
      <c r="BK50" s="31">
        <f t="shared" ref="BK50:BK113" si="104">(180/PI())*IMARGUMENT(BI50)</f>
        <v>60.9781559241777</v>
      </c>
      <c r="BL50" s="32">
        <f t="shared" si="99"/>
        <v>46.8081690228037</v>
      </c>
      <c r="BM50" s="31">
        <f t="shared" si="100"/>
        <v>55.2963964447836</v>
      </c>
      <c r="BO50">
        <f t="shared" si="101"/>
        <v>0</v>
      </c>
      <c r="BP50">
        <f t="shared" si="102"/>
        <v>0</v>
      </c>
    </row>
    <row r="51" spans="1:68">
      <c r="A51" t="s">
        <v>501</v>
      </c>
      <c r="N51" s="7">
        <v>33</v>
      </c>
      <c r="O51" s="18">
        <f t="shared" si="62"/>
        <v>21.3796208950223</v>
      </c>
      <c r="P51" s="86" t="str">
        <f t="shared" si="50"/>
        <v>163,636363636364</v>
      </c>
      <c r="Q51" s="4" t="str">
        <f t="shared" si="51"/>
        <v>1+0,820647132361937i</v>
      </c>
      <c r="R51" s="4">
        <f t="shared" si="63"/>
        <v>1.29362348303278</v>
      </c>
      <c r="S51" s="4">
        <f t="shared" si="64"/>
        <v>0.687204475315476</v>
      </c>
      <c r="T51" s="4" t="str">
        <f t="shared" si="52"/>
        <v>1+0,00210632763972897i</v>
      </c>
      <c r="U51" s="4">
        <f t="shared" si="65"/>
        <v>1.0000022183056</v>
      </c>
      <c r="V51" s="4">
        <f t="shared" si="66"/>
        <v>0.0021063245247482</v>
      </c>
      <c r="W51" t="str">
        <f t="shared" si="53"/>
        <v>1-0,00201498179821011i</v>
      </c>
      <c r="X51" s="4">
        <f t="shared" si="67"/>
        <v>1.00000203007376</v>
      </c>
      <c r="Y51" s="4">
        <f t="shared" si="68"/>
        <v>-0.00201497907117286</v>
      </c>
      <c r="Z51" t="str">
        <f t="shared" si="54"/>
        <v>0,999999996268668+0,000417389086772094i</v>
      </c>
      <c r="AA51" s="4">
        <f t="shared" si="69"/>
        <v>1.00000008337549</v>
      </c>
      <c r="AB51" s="4">
        <f t="shared" si="70"/>
        <v>0.000417389064091221</v>
      </c>
      <c r="AC51" s="67" t="str">
        <f t="shared" si="71"/>
        <v>97,7573918204345-80,2776760767022i</v>
      </c>
      <c r="AD51" s="68">
        <f t="shared" si="72"/>
        <v>42.0414747620412</v>
      </c>
      <c r="AE51" s="31">
        <f t="shared" si="73"/>
        <v>-39.3925970208987</v>
      </c>
      <c r="AF51" s="32" t="str">
        <f t="shared" si="74"/>
        <v>748,315388573934</v>
      </c>
      <c r="AG51" s="32" t="str">
        <f t="shared" si="55"/>
        <v>1+0,6686754411838i</v>
      </c>
      <c r="AH51" s="32">
        <f t="shared" si="75"/>
        <v>1.20296585389709</v>
      </c>
      <c r="AI51" s="32">
        <f t="shared" si="76"/>
        <v>0.589392004552243</v>
      </c>
      <c r="AJ51" s="32" t="str">
        <f t="shared" si="56"/>
        <v>1+0,00210632763972897i</v>
      </c>
      <c r="AK51" s="32">
        <f t="shared" si="77"/>
        <v>1.0000022183056</v>
      </c>
      <c r="AL51" s="32">
        <f t="shared" si="78"/>
        <v>0.0021063245247482</v>
      </c>
      <c r="AM51" s="32" t="str">
        <f t="shared" si="57"/>
        <v>1-0,000359017691880376i</v>
      </c>
      <c r="AN51" s="32">
        <f t="shared" si="79"/>
        <v>1.00000006444685</v>
      </c>
      <c r="AO51" s="32">
        <f t="shared" si="80"/>
        <v>-0.000359017676455337</v>
      </c>
      <c r="AP51" s="30" t="str">
        <f t="shared" si="81"/>
        <v>517,708779903157-344,871607883887i</v>
      </c>
      <c r="AQ51" s="32">
        <f t="shared" si="82"/>
        <v>55.87664735124</v>
      </c>
      <c r="AR51" s="31">
        <f t="shared" si="83"/>
        <v>-33.6695610316774</v>
      </c>
      <c r="AS51" t="str">
        <f t="shared" si="58"/>
        <v>-0,0000504684572142411</v>
      </c>
      <c r="AT51" t="str">
        <f t="shared" si="59"/>
        <v>0,0000301844273371874i</v>
      </c>
      <c r="AU51">
        <f t="shared" si="84"/>
        <v>3.01844273371874e-5</v>
      </c>
      <c r="AV51">
        <f t="shared" si="85"/>
        <v>1.5707963267949</v>
      </c>
      <c r="AW51" t="str">
        <f t="shared" si="60"/>
        <v>1+0,00154538731593922i</v>
      </c>
      <c r="AX51">
        <f t="shared" si="86"/>
        <v>1.00000119411027</v>
      </c>
      <c r="AY51">
        <f t="shared" si="87"/>
        <v>0.00154538608569834</v>
      </c>
      <c r="AZ51" t="str">
        <f t="shared" si="61"/>
        <v>1+0,0738826659343706i</v>
      </c>
      <c r="BA51">
        <f t="shared" si="88"/>
        <v>1.0027256096887</v>
      </c>
      <c r="BB51">
        <f t="shared" si="89"/>
        <v>0.0737486713553593</v>
      </c>
      <c r="BC51" s="30" t="str">
        <f t="shared" si="90"/>
        <v>-0,12094786796464+1,67219004889457i</v>
      </c>
      <c r="BD51" s="32">
        <f t="shared" si="91"/>
        <v>4.48837352960314</v>
      </c>
      <c r="BE51" s="31">
        <f t="shared" si="92"/>
        <v>94.1369435129307</v>
      </c>
      <c r="BF51" s="30" t="str">
        <f t="shared" si="93"/>
        <v>122,415982965378+173,178351574651i</v>
      </c>
      <c r="BG51" s="68">
        <f t="shared" si="94"/>
        <v>46.5298482916444</v>
      </c>
      <c r="BH51" s="31">
        <f t="shared" si="95"/>
        <v>54.7443464920319</v>
      </c>
      <c r="BI51" s="30" t="str">
        <f t="shared" si="103"/>
        <v>514,075097693844+907,418955674502i</v>
      </c>
      <c r="BJ51" s="68">
        <f t="shared" si="97"/>
        <v>60.3650208808431</v>
      </c>
      <c r="BK51" s="31">
        <f t="shared" si="104"/>
        <v>60.4673824812532</v>
      </c>
      <c r="BL51" s="32">
        <f t="shared" si="99"/>
        <v>46.5298482916444</v>
      </c>
      <c r="BM51" s="31">
        <f t="shared" si="100"/>
        <v>54.7443464920319</v>
      </c>
      <c r="BO51">
        <f t="shared" si="101"/>
        <v>0</v>
      </c>
      <c r="BP51">
        <f t="shared" si="102"/>
        <v>0</v>
      </c>
    </row>
    <row r="52" spans="1:68">
      <c r="A52" t="s">
        <v>291</v>
      </c>
      <c r="B52" s="15">
        <f>RFBT</f>
        <v>15000</v>
      </c>
      <c r="C52" s="16" t="s">
        <v>35</v>
      </c>
      <c r="E52" t="s">
        <v>502</v>
      </c>
      <c r="N52" s="7">
        <v>34</v>
      </c>
      <c r="O52" s="18">
        <f t="shared" si="62"/>
        <v>21.8776162394955</v>
      </c>
      <c r="P52" s="86" t="str">
        <f t="shared" si="50"/>
        <v>163,636363636364</v>
      </c>
      <c r="Q52" s="4" t="str">
        <f t="shared" si="51"/>
        <v>1+0,839762459681267i</v>
      </c>
      <c r="R52" s="4">
        <f t="shared" si="63"/>
        <v>1.30583344599912</v>
      </c>
      <c r="S52" s="4">
        <f t="shared" si="64"/>
        <v>0.69852053760274</v>
      </c>
      <c r="T52" s="4" t="str">
        <f t="shared" si="52"/>
        <v>1+0,00215539031318192i</v>
      </c>
      <c r="U52" s="4">
        <f t="shared" si="65"/>
        <v>1.000002322851</v>
      </c>
      <c r="V52" s="4">
        <f t="shared" si="66"/>
        <v>0.00215538697542031</v>
      </c>
      <c r="W52" t="str">
        <f t="shared" si="53"/>
        <v>1-0,00206191675368168i</v>
      </c>
      <c r="X52" s="4">
        <f t="shared" si="67"/>
        <v>1.00000212574809</v>
      </c>
      <c r="Y52" s="4">
        <f t="shared" si="68"/>
        <v>-0.00206191383160896</v>
      </c>
      <c r="Z52" t="str">
        <f t="shared" si="54"/>
        <v>0,999999996092816+0,000427111327548348i</v>
      </c>
      <c r="AA52" s="4">
        <f t="shared" si="69"/>
        <v>1.00000008730486</v>
      </c>
      <c r="AB52" s="4">
        <f t="shared" si="70"/>
        <v>0.000427111303245355</v>
      </c>
      <c r="AC52" s="67" t="str">
        <f t="shared" si="71"/>
        <v>95,93662094313-80,618568348986i</v>
      </c>
      <c r="AD52" s="68">
        <f t="shared" si="72"/>
        <v>41.9598785227513</v>
      </c>
      <c r="AE52" s="31">
        <f t="shared" si="73"/>
        <v>-40.0413947662664</v>
      </c>
      <c r="AF52" s="32" t="str">
        <f t="shared" si="74"/>
        <v>748,315388573934</v>
      </c>
      <c r="AG52" s="32" t="str">
        <f t="shared" si="55"/>
        <v>1+0,684250893073625i</v>
      </c>
      <c r="AH52" s="32">
        <f t="shared" si="75"/>
        <v>1.21169273525595</v>
      </c>
      <c r="AI52" s="32">
        <f t="shared" si="76"/>
        <v>0.600077707978051</v>
      </c>
      <c r="AJ52" s="32" t="str">
        <f t="shared" si="56"/>
        <v>1+0,00215539031318192i</v>
      </c>
      <c r="AK52" s="32">
        <f t="shared" si="77"/>
        <v>1.000002322851</v>
      </c>
      <c r="AL52" s="32">
        <f t="shared" si="78"/>
        <v>0.00215538697542031</v>
      </c>
      <c r="AM52" s="32" t="str">
        <f t="shared" si="57"/>
        <v>1-0,000367380288206i</v>
      </c>
      <c r="AN52" s="32">
        <f t="shared" si="79"/>
        <v>1.00000006748414</v>
      </c>
      <c r="AO52" s="32">
        <f t="shared" si="80"/>
        <v>-0.000367380271677773</v>
      </c>
      <c r="AP52" s="30" t="str">
        <f t="shared" si="81"/>
        <v>510,306409699698-347,8396211616i</v>
      </c>
      <c r="AQ52" s="32">
        <f t="shared" si="82"/>
        <v>55.8138642061968</v>
      </c>
      <c r="AR52" s="31">
        <f t="shared" si="83"/>
        <v>-34.2794748091607</v>
      </c>
      <c r="AS52" t="str">
        <f t="shared" si="58"/>
        <v>-0,0000504684572142411</v>
      </c>
      <c r="AT52" t="str">
        <f t="shared" si="59"/>
        <v>0,0000308875129701515i</v>
      </c>
      <c r="AU52">
        <f t="shared" si="84"/>
        <v>3.08875129701515e-5</v>
      </c>
      <c r="AV52">
        <f t="shared" si="85"/>
        <v>1.5707963267949</v>
      </c>
      <c r="AW52" t="str">
        <f t="shared" si="60"/>
        <v>1+0,00158138401076017i</v>
      </c>
      <c r="AX52">
        <f t="shared" si="86"/>
        <v>1.00000125038691</v>
      </c>
      <c r="AY52">
        <f t="shared" si="87"/>
        <v>0.00158138269253341</v>
      </c>
      <c r="AZ52" t="str">
        <f t="shared" si="61"/>
        <v>1+0,0756036143016615i</v>
      </c>
      <c r="BA52">
        <f t="shared" si="88"/>
        <v>1.00285388092956</v>
      </c>
      <c r="BB52">
        <f t="shared" si="89"/>
        <v>0.0754600585816053</v>
      </c>
      <c r="BC52" s="30" t="str">
        <f t="shared" si="90"/>
        <v>-0,120947854351577+1,6341349646143i</v>
      </c>
      <c r="BD52" s="32">
        <f t="shared" si="91"/>
        <v>4.28948409108699</v>
      </c>
      <c r="BE52" s="31">
        <f t="shared" si="92"/>
        <v>94.2329363244587</v>
      </c>
      <c r="BF52" s="30" t="str">
        <f t="shared" si="93"/>
        <v>120,138292879414+166,524029532823i</v>
      </c>
      <c r="BG52" s="68">
        <f t="shared" si="94"/>
        <v>46.2493626138383</v>
      </c>
      <c r="BH52" s="31">
        <f t="shared" si="95"/>
        <v>54.1915415581922</v>
      </c>
      <c r="BI52" s="30" t="str">
        <f t="shared" si="103"/>
        <v>506,696421703328+875,980002595027i</v>
      </c>
      <c r="BJ52" s="68">
        <f t="shared" si="97"/>
        <v>60.1033482972838</v>
      </c>
      <c r="BK52" s="31">
        <f t="shared" si="104"/>
        <v>59.953461515298</v>
      </c>
      <c r="BL52" s="32">
        <f t="shared" si="99"/>
        <v>46.2493626138383</v>
      </c>
      <c r="BM52" s="31">
        <f t="shared" si="100"/>
        <v>54.1915415581922</v>
      </c>
      <c r="BO52">
        <f t="shared" si="101"/>
        <v>0</v>
      </c>
      <c r="BP52">
        <f t="shared" si="102"/>
        <v>0</v>
      </c>
    </row>
    <row r="53" spans="1:68">
      <c r="A53" t="s">
        <v>295</v>
      </c>
      <c r="B53" s="15">
        <f>RFBB</f>
        <v>1010</v>
      </c>
      <c r="C53" s="16" t="s">
        <v>35</v>
      </c>
      <c r="E53" t="s">
        <v>503</v>
      </c>
      <c r="N53" s="7">
        <v>35</v>
      </c>
      <c r="O53" s="18">
        <f t="shared" si="62"/>
        <v>22.3872113856834</v>
      </c>
      <c r="P53" s="86" t="str">
        <f t="shared" si="50"/>
        <v>163,636363636364</v>
      </c>
      <c r="Q53" s="4" t="str">
        <f t="shared" si="51"/>
        <v>1+0,859323040172286i</v>
      </c>
      <c r="R53" s="4">
        <f t="shared" si="63"/>
        <v>1.31849766301307</v>
      </c>
      <c r="S53" s="4">
        <f t="shared" si="64"/>
        <v>0.709881730397138</v>
      </c>
      <c r="T53" s="4" t="str">
        <f t="shared" si="52"/>
        <v>1+0,00220559580310887i</v>
      </c>
      <c r="U53" s="4">
        <f t="shared" si="65"/>
        <v>1.00000243232347</v>
      </c>
      <c r="V53" s="4">
        <f t="shared" si="66"/>
        <v>0.00220559222663334</v>
      </c>
      <c r="W53" t="str">
        <f t="shared" si="53"/>
        <v>1-0,00210994496470874i</v>
      </c>
      <c r="X53" s="4">
        <f t="shared" si="67"/>
        <v>1.0000022259314</v>
      </c>
      <c r="Y53" s="4">
        <f t="shared" si="68"/>
        <v>-0.00210994183365179</v>
      </c>
      <c r="Z53" t="str">
        <f t="shared" si="54"/>
        <v>0,999999995908676+0,000437060028403952i</v>
      </c>
      <c r="AA53" s="4">
        <f t="shared" si="69"/>
        <v>1.00000009141941</v>
      </c>
      <c r="AB53" s="4">
        <f t="shared" si="70"/>
        <v>0.000437060002362826</v>
      </c>
      <c r="AC53" s="67" t="str">
        <f t="shared" si="71"/>
        <v>94,1012986024262-80,9192812802372i</v>
      </c>
      <c r="AD53" s="68">
        <f t="shared" si="72"/>
        <v>41.8760487786893</v>
      </c>
      <c r="AE53" s="31">
        <f t="shared" si="73"/>
        <v>-40.6927884349026</v>
      </c>
      <c r="AF53" s="32" t="str">
        <f t="shared" si="74"/>
        <v>748,315388573934</v>
      </c>
      <c r="AG53" s="32" t="str">
        <f t="shared" si="55"/>
        <v>1+0,700189143844084i</v>
      </c>
      <c r="AH53" s="32">
        <f t="shared" si="75"/>
        <v>1.22076403827976</v>
      </c>
      <c r="AI53" s="32">
        <f t="shared" si="76"/>
        <v>0.610852895286745</v>
      </c>
      <c r="AJ53" s="32" t="str">
        <f t="shared" si="56"/>
        <v>1+0,00220559580310887i</v>
      </c>
      <c r="AK53" s="32">
        <f t="shared" si="77"/>
        <v>1.00000243232347</v>
      </c>
      <c r="AL53" s="32">
        <f t="shared" si="78"/>
        <v>0.00220559222663334</v>
      </c>
      <c r="AM53" s="32" t="str">
        <f t="shared" si="57"/>
        <v>1-0,000375937674423282i</v>
      </c>
      <c r="AN53" s="32">
        <f t="shared" si="79"/>
        <v>1.00000007066457</v>
      </c>
      <c r="AO53" s="32">
        <f t="shared" si="80"/>
        <v>-0.000375937656712968</v>
      </c>
      <c r="AP53" s="30" t="str">
        <f t="shared" si="81"/>
        <v>502,779547817339-350,671619795014i</v>
      </c>
      <c r="AQ53" s="32">
        <f t="shared" si="82"/>
        <v>55.7490807222711</v>
      </c>
      <c r="AR53" s="31">
        <f t="shared" si="83"/>
        <v>-34.8944613184541</v>
      </c>
      <c r="AS53" t="str">
        <f t="shared" si="58"/>
        <v>-0,0000504684572142411</v>
      </c>
      <c r="AT53" t="str">
        <f t="shared" si="59"/>
        <v>0,000031606975571337i</v>
      </c>
      <c r="AU53">
        <f t="shared" si="84"/>
        <v>3.1606975571337e-5</v>
      </c>
      <c r="AV53">
        <f t="shared" si="85"/>
        <v>1.5707963267949</v>
      </c>
      <c r="AW53" t="str">
        <f t="shared" si="60"/>
        <v>1+0,0016182191763157i</v>
      </c>
      <c r="AX53">
        <f t="shared" si="86"/>
        <v>1.00000130931579</v>
      </c>
      <c r="AY53">
        <f t="shared" si="87"/>
        <v>0.00161821776381038</v>
      </c>
      <c r="AZ53" t="str">
        <f t="shared" si="61"/>
        <v>1+0,0773646487059869i</v>
      </c>
      <c r="BA53">
        <f t="shared" si="88"/>
        <v>1.00298817982537</v>
      </c>
      <c r="BB53">
        <f t="shared" si="89"/>
        <v>0.0772108507209621</v>
      </c>
      <c r="BC53" s="30" t="str">
        <f t="shared" si="90"/>
        <v>-0,120947840096952+1,59694632032057i</v>
      </c>
      <c r="BD53" s="32">
        <f t="shared" si="91"/>
        <v>4.09064668715356</v>
      </c>
      <c r="BE53" s="31">
        <f t="shared" si="92"/>
        <v>94.3311388307263</v>
      </c>
      <c r="BF53" s="30" t="str">
        <f t="shared" si="93"/>
        <v>117,842399667178+160,061734833574i</v>
      </c>
      <c r="BG53" s="68">
        <f t="shared" si="94"/>
        <v>45.9666954658429</v>
      </c>
      <c r="BH53" s="31">
        <f t="shared" si="95"/>
        <v>53.6383503958238</v>
      </c>
      <c r="BI53" s="30" t="str">
        <f t="shared" si="103"/>
        <v>499,193652519072+845,324923816846i</v>
      </c>
      <c r="BJ53" s="68">
        <f t="shared" si="97"/>
        <v>59.8397274094246</v>
      </c>
      <c r="BK53" s="31">
        <f t="shared" si="104"/>
        <v>59.4366775122722</v>
      </c>
      <c r="BL53" s="32">
        <f t="shared" si="99"/>
        <v>45.9666954658429</v>
      </c>
      <c r="BM53" s="31">
        <f t="shared" si="100"/>
        <v>53.6383503958238</v>
      </c>
      <c r="BO53">
        <f t="shared" si="101"/>
        <v>0</v>
      </c>
      <c r="BP53">
        <f t="shared" si="102"/>
        <v>0</v>
      </c>
    </row>
    <row r="54" spans="1:68">
      <c r="A54" t="s">
        <v>361</v>
      </c>
      <c r="B54" s="15">
        <f>RCOMP</f>
        <v>2500</v>
      </c>
      <c r="C54" s="16" t="s">
        <v>35</v>
      </c>
      <c r="E54" t="s">
        <v>362</v>
      </c>
      <c r="N54" s="7">
        <v>36</v>
      </c>
      <c r="O54" s="18">
        <f t="shared" si="62"/>
        <v>22.9086765276777</v>
      </c>
      <c r="P54" s="86" t="str">
        <f t="shared" si="50"/>
        <v>163,636363636364</v>
      </c>
      <c r="Q54" s="4" t="str">
        <f t="shared" si="51"/>
        <v>1+0,879339245113693i</v>
      </c>
      <c r="R54" s="4">
        <f t="shared" si="63"/>
        <v>1.33162964370621</v>
      </c>
      <c r="S54" s="4">
        <f t="shared" si="64"/>
        <v>0.721282346664108</v>
      </c>
      <c r="T54" s="4" t="str">
        <f t="shared" si="52"/>
        <v>1+0,00225697072912514i</v>
      </c>
      <c r="U54" s="4">
        <f t="shared" si="65"/>
        <v>1.00000254695519</v>
      </c>
      <c r="V54" s="4">
        <f t="shared" si="66"/>
        <v>0.00225696689686309</v>
      </c>
      <c r="W54" t="str">
        <f t="shared" si="53"/>
        <v>1-0,00215909189648451i</v>
      </c>
      <c r="X54" s="4">
        <f t="shared" si="67"/>
        <v>1.00000233083619</v>
      </c>
      <c r="Y54" s="4">
        <f t="shared" si="68"/>
        <v>-0.00215908854149696</v>
      </c>
      <c r="Z54" t="str">
        <f t="shared" si="54"/>
        <v>0,999999995715858+0,000447240464271792i</v>
      </c>
      <c r="AA54" s="4">
        <f t="shared" si="69"/>
        <v>1.00000009572787</v>
      </c>
      <c r="AB54" s="4">
        <f t="shared" si="70"/>
        <v>0.000447240436368223</v>
      </c>
      <c r="AC54" s="67" t="str">
        <f t="shared" si="71"/>
        <v>92,253217534557-81,1790432788943i</v>
      </c>
      <c r="AD54" s="68">
        <f t="shared" si="72"/>
        <v>41.7899688449434</v>
      </c>
      <c r="AE54" s="31">
        <f t="shared" si="73"/>
        <v>-41.3464512739087</v>
      </c>
      <c r="AF54" s="32" t="str">
        <f t="shared" si="74"/>
        <v>748,315388573934</v>
      </c>
      <c r="AG54" s="32" t="str">
        <f t="shared" si="55"/>
        <v>1+0,716498644166712i</v>
      </c>
      <c r="AH54" s="32">
        <f t="shared" si="75"/>
        <v>1.23019116688941</v>
      </c>
      <c r="AI54" s="32">
        <f t="shared" si="76"/>
        <v>0.621713271291261</v>
      </c>
      <c r="AJ54" s="32" t="str">
        <f t="shared" si="56"/>
        <v>1+0,00225697072912514i</v>
      </c>
      <c r="AK54" s="32">
        <f t="shared" si="77"/>
        <v>1.00000254695519</v>
      </c>
      <c r="AL54" s="32">
        <f t="shared" si="78"/>
        <v>0.00225696689686309</v>
      </c>
      <c r="AM54" s="32" t="str">
        <f t="shared" si="57"/>
        <v>1-0,000384694387771668i</v>
      </c>
      <c r="AN54" s="32">
        <f t="shared" si="79"/>
        <v>1.00000007399488</v>
      </c>
      <c r="AO54" s="32">
        <f t="shared" si="80"/>
        <v>-0.000384694368794725</v>
      </c>
      <c r="AP54" s="30" t="str">
        <f t="shared" si="81"/>
        <v>495,133205335872-353,361217107173i</v>
      </c>
      <c r="AQ54" s="32">
        <f t="shared" si="82"/>
        <v>55.6822642037929</v>
      </c>
      <c r="AR54" s="31">
        <f t="shared" si="83"/>
        <v>-35.5142731983046</v>
      </c>
      <c r="AS54" t="str">
        <f t="shared" si="58"/>
        <v>-0,0000504684572142411</v>
      </c>
      <c r="AT54" t="str">
        <f t="shared" si="59"/>
        <v>0,000032343196609338i</v>
      </c>
      <c r="AU54">
        <f t="shared" si="84"/>
        <v>3.2343196609338e-5</v>
      </c>
      <c r="AV54">
        <f t="shared" si="85"/>
        <v>1.5707963267949</v>
      </c>
      <c r="AW54" t="str">
        <f t="shared" si="60"/>
        <v>1+0,00165591234309819i</v>
      </c>
      <c r="AX54">
        <f t="shared" si="86"/>
        <v>1.0000013710219</v>
      </c>
      <c r="AY54">
        <f t="shared" si="87"/>
        <v>0.00165591082957158</v>
      </c>
      <c r="AZ54" t="str">
        <f t="shared" si="61"/>
        <v>1+0,0791667028710986i</v>
      </c>
      <c r="BA54">
        <f t="shared" si="88"/>
        <v>1.00312878876218</v>
      </c>
      <c r="BB54">
        <f t="shared" si="89"/>
        <v>0.0790019331093419</v>
      </c>
      <c r="BC54" s="30" t="str">
        <f t="shared" si="90"/>
        <v>-0,120947825170531+1,56060439810179i</v>
      </c>
      <c r="BD54" s="32">
        <f t="shared" si="91"/>
        <v>3.89186374091207</v>
      </c>
      <c r="BE54" s="31">
        <f t="shared" si="92"/>
        <v>94.4316006387557</v>
      </c>
      <c r="BF54" s="30" t="str">
        <f t="shared" si="93"/>
        <v>115,530545948949+153,789205757478i</v>
      </c>
      <c r="BG54" s="68">
        <f t="shared" si="94"/>
        <v>45.6818325858555</v>
      </c>
      <c r="BH54" s="31">
        <f t="shared" si="95"/>
        <v>53.0851493648472</v>
      </c>
      <c r="BI54" s="30" t="str">
        <f t="shared" si="103"/>
        <v>491,571785180968+815,445328602123i</v>
      </c>
      <c r="BJ54" s="68">
        <f t="shared" si="97"/>
        <v>59.5741279447049</v>
      </c>
      <c r="BK54" s="31">
        <f t="shared" si="104"/>
        <v>58.9173274404511</v>
      </c>
      <c r="BL54" s="32">
        <f t="shared" si="99"/>
        <v>45.6818325858555</v>
      </c>
      <c r="BM54" s="31">
        <f t="shared" si="100"/>
        <v>53.0851493648472</v>
      </c>
      <c r="BO54">
        <f t="shared" si="101"/>
        <v>0</v>
      </c>
      <c r="BP54">
        <f t="shared" si="102"/>
        <v>0</v>
      </c>
    </row>
    <row r="55" spans="1:68">
      <c r="A55" t="s">
        <v>364</v>
      </c>
      <c r="B55" s="15">
        <f>CCOMP</f>
        <v>2.2e-7</v>
      </c>
      <c r="C55" s="16" t="s">
        <v>258</v>
      </c>
      <c r="E55" t="s">
        <v>365</v>
      </c>
      <c r="N55" s="7">
        <v>37</v>
      </c>
      <c r="O55" s="18">
        <f t="shared" si="62"/>
        <v>23.4422881531992</v>
      </c>
      <c r="P55" s="86" t="str">
        <f t="shared" si="50"/>
        <v>163,636363636364</v>
      </c>
      <c r="Q55" s="4" t="str">
        <f t="shared" si="51"/>
        <v>1+0,899821687362291i</v>
      </c>
      <c r="R55" s="4">
        <f t="shared" si="63"/>
        <v>1.34524312637066</v>
      </c>
      <c r="S55" s="4">
        <f t="shared" si="64"/>
        <v>0.732716577781866</v>
      </c>
      <c r="T55" s="4" t="str">
        <f t="shared" si="52"/>
        <v>1+0,00230954233089654i</v>
      </c>
      <c r="U55" s="4">
        <f t="shared" si="65"/>
        <v>1.00000266698933</v>
      </c>
      <c r="V55" s="4">
        <f t="shared" si="66"/>
        <v>0.00230953822455437</v>
      </c>
      <c r="W55" t="str">
        <f t="shared" si="53"/>
        <v>1-0,00220938360736277i</v>
      </c>
      <c r="X55" s="4">
        <f t="shared" si="67"/>
        <v>1.00000244068498</v>
      </c>
      <c r="Y55" s="4">
        <f t="shared" si="68"/>
        <v>-0.00220938001242932</v>
      </c>
      <c r="Z55" t="str">
        <f t="shared" si="54"/>
        <v>0,999999995513952+0,000457658032953716i</v>
      </c>
      <c r="AA55" s="4">
        <f t="shared" si="69"/>
        <v>1.00000010023938</v>
      </c>
      <c r="AB55" s="4">
        <f t="shared" si="70"/>
        <v>0.000457658003054504</v>
      </c>
      <c r="AC55" s="67" t="str">
        <f t="shared" si="71"/>
        <v>90,3942226974972-81,397182252942i</v>
      </c>
      <c r="AD55" s="68">
        <f t="shared" si="72"/>
        <v>41.7016242596487</v>
      </c>
      <c r="AE55" s="31">
        <f t="shared" si="73"/>
        <v>-42.0020507153671</v>
      </c>
      <c r="AF55" s="32" t="str">
        <f t="shared" si="74"/>
        <v>748,315388573934</v>
      </c>
      <c r="AG55" s="32" t="str">
        <f t="shared" si="55"/>
        <v>1+0,733188041554459i</v>
      </c>
      <c r="AH55" s="32">
        <f t="shared" si="75"/>
        <v>1.23998576777254</v>
      </c>
      <c r="AI55" s="32">
        <f t="shared" si="76"/>
        <v>0.632654346807592</v>
      </c>
      <c r="AJ55" s="32" t="str">
        <f t="shared" si="56"/>
        <v>1+0,00230954233089654i</v>
      </c>
      <c r="AK55" s="32">
        <f t="shared" si="77"/>
        <v>1.00000266698933</v>
      </c>
      <c r="AL55" s="32">
        <f t="shared" si="78"/>
        <v>0.00230953822455437</v>
      </c>
      <c r="AM55" s="32" t="str">
        <f t="shared" si="57"/>
        <v>1-0,000393655071176483i</v>
      </c>
      <c r="AN55" s="32">
        <f t="shared" si="79"/>
        <v>1.00000007748215</v>
      </c>
      <c r="AO55" s="32">
        <f t="shared" si="80"/>
        <v>-0.000393655050842322</v>
      </c>
      <c r="AP55" s="30" t="str">
        <f t="shared" si="81"/>
        <v>487,372810826837-355,902228757799i</v>
      </c>
      <c r="AQ55" s="32">
        <f t="shared" si="82"/>
        <v>55.6133833541064</v>
      </c>
      <c r="AR55" s="31">
        <f t="shared" si="83"/>
        <v>-36.1386519427871</v>
      </c>
      <c r="AS55" t="str">
        <f t="shared" si="58"/>
        <v>-0,0000504684572142411</v>
      </c>
      <c r="AT55" t="str">
        <f t="shared" si="59"/>
        <v>0,0000330965664382943i</v>
      </c>
      <c r="AU55">
        <f t="shared" si="84"/>
        <v>3.30965664382943e-5</v>
      </c>
      <c r="AV55">
        <f t="shared" si="85"/>
        <v>1.5707963267949</v>
      </c>
      <c r="AW55" t="str">
        <f t="shared" si="60"/>
        <v>1+0,00169448349652359i</v>
      </c>
      <c r="AX55">
        <f t="shared" si="86"/>
        <v>1.00000143563613</v>
      </c>
      <c r="AY55">
        <f t="shared" si="87"/>
        <v>0.00169448187475073</v>
      </c>
      <c r="AZ55" t="str">
        <f t="shared" si="61"/>
        <v>1+0,081010732269968i</v>
      </c>
      <c r="BA55">
        <f t="shared" si="88"/>
        <v>1.00327600327274</v>
      </c>
      <c r="BB55">
        <f t="shared" si="89"/>
        <v>0.0808342094106687</v>
      </c>
      <c r="BC55" s="30" t="str">
        <f t="shared" si="90"/>
        <v>-0,120947809540655+1,52508992898959i</v>
      </c>
      <c r="BD55" s="32">
        <f t="shared" si="91"/>
        <v>3.69313778687791</v>
      </c>
      <c r="BE55" s="31">
        <f t="shared" si="92"/>
        <v>94.5343723796234</v>
      </c>
      <c r="BF55" s="30" t="str">
        <f t="shared" si="93"/>
        <v>113,2050396717+147,70412957107i</v>
      </c>
      <c r="BG55" s="68">
        <f t="shared" si="94"/>
        <v>45.3947620465267</v>
      </c>
      <c r="BH55" s="31">
        <f t="shared" si="95"/>
        <v>52.5323216642562</v>
      </c>
      <c r="BI55" s="30" t="str">
        <f t="shared" si="103"/>
        <v>483,836230884291+786,332960434251i</v>
      </c>
      <c r="BJ55" s="68">
        <f t="shared" si="97"/>
        <v>59.3065211409843</v>
      </c>
      <c r="BK55" s="31">
        <f t="shared" si="104"/>
        <v>58.3957204368363</v>
      </c>
      <c r="BL55" s="32">
        <f t="shared" si="99"/>
        <v>45.3947620465267</v>
      </c>
      <c r="BM55" s="31">
        <f t="shared" si="100"/>
        <v>52.5323216642562</v>
      </c>
      <c r="BO55">
        <f t="shared" si="101"/>
        <v>0</v>
      </c>
      <c r="BP55">
        <f t="shared" si="102"/>
        <v>0</v>
      </c>
    </row>
    <row r="56" spans="1:68">
      <c r="A56" t="s">
        <v>367</v>
      </c>
      <c r="B56" s="15">
        <f>CHF</f>
        <v>4.7e-9</v>
      </c>
      <c r="C56" s="16" t="s">
        <v>258</v>
      </c>
      <c r="E56" t="s">
        <v>368</v>
      </c>
      <c r="N56" s="7">
        <v>38</v>
      </c>
      <c r="O56" s="18">
        <f t="shared" si="62"/>
        <v>23.9883291901949</v>
      </c>
      <c r="P56" s="86" t="str">
        <f t="shared" si="50"/>
        <v>163,636363636364</v>
      </c>
      <c r="Q56" s="4" t="str">
        <f t="shared" si="51"/>
        <v>1+0,92078122698008i</v>
      </c>
      <c r="R56" s="4">
        <f t="shared" si="63"/>
        <v>1.35935207652725</v>
      </c>
      <c r="S56" s="4">
        <f t="shared" si="64"/>
        <v>0.744178527838605</v>
      </c>
      <c r="T56" s="4" t="str">
        <f t="shared" si="52"/>
        <v>1+0,0023633384825822i</v>
      </c>
      <c r="U56" s="4">
        <f t="shared" si="65"/>
        <v>1.00000279268049</v>
      </c>
      <c r="V56" s="4">
        <f t="shared" si="66"/>
        <v>0.00236333408255795</v>
      </c>
      <c r="W56" t="str">
        <f t="shared" si="53"/>
        <v>1-0,0022608467626743i</v>
      </c>
      <c r="X56" s="4">
        <f t="shared" si="67"/>
        <v>1.00000255571078</v>
      </c>
      <c r="Y56" s="4">
        <f t="shared" si="68"/>
        <v>-0.00226084291063423</v>
      </c>
      <c r="Z56" t="str">
        <f t="shared" si="54"/>
        <v>0,999999995302531+0,000468318257982534i</v>
      </c>
      <c r="AA56" s="4">
        <f t="shared" si="69"/>
        <v>1.00000010496352</v>
      </c>
      <c r="AB56" s="4">
        <f t="shared" si="70"/>
        <v>0.000468318225944951</v>
      </c>
      <c r="AC56" s="67" t="str">
        <f t="shared" si="71"/>
        <v>88,5262041546923-81,5731298028368i</v>
      </c>
      <c r="AD56" s="68">
        <f t="shared" si="72"/>
        <v>41.6110028434937</v>
      </c>
      <c r="AE56" s="31">
        <f t="shared" si="73"/>
        <v>-42.659249195638</v>
      </c>
      <c r="AF56" s="32" t="str">
        <f t="shared" si="74"/>
        <v>748,315388573934</v>
      </c>
      <c r="AG56" s="32" t="str">
        <f t="shared" si="55"/>
        <v>1+0,750266184946731i</v>
      </c>
      <c r="AH56" s="32">
        <f t="shared" si="75"/>
        <v>1.25015972910445</v>
      </c>
      <c r="AI56" s="32">
        <f t="shared" si="76"/>
        <v>0.643671445393846</v>
      </c>
      <c r="AJ56" s="32" t="str">
        <f t="shared" si="56"/>
        <v>1+0,0023633384825822i</v>
      </c>
      <c r="AK56" s="32">
        <f t="shared" si="77"/>
        <v>1.00000279268049</v>
      </c>
      <c r="AL56" s="32">
        <f t="shared" si="78"/>
        <v>0.00236333408255795</v>
      </c>
      <c r="AM56" s="32" t="str">
        <f t="shared" si="57"/>
        <v>1-0,000402824475710679i</v>
      </c>
      <c r="AN56" s="32">
        <f t="shared" si="79"/>
        <v>1.00000008113378</v>
      </c>
      <c r="AO56" s="32">
        <f t="shared" si="80"/>
        <v>-0.000402824453922233</v>
      </c>
      <c r="AP56" s="30" t="str">
        <f t="shared" si="81"/>
        <v>479,50420122798-358,288704920389i</v>
      </c>
      <c r="AQ56" s="32">
        <f t="shared" si="82"/>
        <v>55.5424083862902</v>
      </c>
      <c r="AR56" s="31">
        <f t="shared" si="83"/>
        <v>-36.7673282867372</v>
      </c>
      <c r="AS56" t="str">
        <f t="shared" si="58"/>
        <v>-0,0000504684572142411</v>
      </c>
      <c r="AT56" t="str">
        <f t="shared" si="59"/>
        <v>0,000033867484504861i</v>
      </c>
      <c r="AU56">
        <f t="shared" si="84"/>
        <v>3.3867484504861e-5</v>
      </c>
      <c r="AV56">
        <f t="shared" si="85"/>
        <v>1.5707963267949</v>
      </c>
      <c r="AW56" t="str">
        <f t="shared" si="60"/>
        <v>1+0,00173395308752798i</v>
      </c>
      <c r="AX56">
        <f t="shared" si="86"/>
        <v>1.00000150329552</v>
      </c>
      <c r="AY56">
        <f t="shared" si="87"/>
        <v>0.0017339513497672</v>
      </c>
      <c r="AZ56" t="str">
        <f t="shared" si="61"/>
        <v>1+0,0828977146313909i</v>
      </c>
      <c r="BA56">
        <f t="shared" si="88"/>
        <v>1.00343013264059</v>
      </c>
      <c r="BB56">
        <f t="shared" si="89"/>
        <v>0.0827086018835673</v>
      </c>
      <c r="BC56" s="30" t="str">
        <f t="shared" si="90"/>
        <v>-0,120947793174168+1,4903840827422i</v>
      </c>
      <c r="BD56" s="32">
        <f t="shared" si="91"/>
        <v>3.49447147595787</v>
      </c>
      <c r="BE56" s="31">
        <f t="shared" si="92"/>
        <v>94.6395057231335</v>
      </c>
      <c r="BF56" s="30" t="str">
        <f t="shared" si="93"/>
        <v>110,868245207015+141,804135609703i</v>
      </c>
      <c r="BG56" s="68">
        <f t="shared" si="94"/>
        <v>45.1054743194516</v>
      </c>
      <c r="BH56" s="31">
        <f t="shared" si="95"/>
        <v>51.9802565274956</v>
      </c>
      <c r="BI56" s="30" t="str">
        <f t="shared" si="103"/>
        <v>475,992807883398+757,979657297546i</v>
      </c>
      <c r="BJ56" s="68">
        <f t="shared" si="97"/>
        <v>59.0368798622481</v>
      </c>
      <c r="BK56" s="31">
        <f t="shared" si="104"/>
        <v>57.8721774363963</v>
      </c>
      <c r="BL56" s="32">
        <f t="shared" si="99"/>
        <v>45.1054743194516</v>
      </c>
      <c r="BM56" s="31">
        <f t="shared" si="100"/>
        <v>51.9802565274956</v>
      </c>
      <c r="BO56">
        <f t="shared" si="101"/>
        <v>0</v>
      </c>
      <c r="BP56">
        <f t="shared" si="102"/>
        <v>0</v>
      </c>
    </row>
    <row r="57" spans="1:68">
      <c r="N57" s="7">
        <v>39</v>
      </c>
      <c r="O57" s="18">
        <f t="shared" si="62"/>
        <v>24.5470891568503</v>
      </c>
      <c r="P57" s="86" t="str">
        <f t="shared" si="50"/>
        <v>163,636363636364</v>
      </c>
      <c r="Q57" s="4" t="str">
        <f t="shared" si="51"/>
        <v>1+0,942228976992388i</v>
      </c>
      <c r="R57" s="4">
        <f t="shared" si="63"/>
        <v>1.37397068567132</v>
      </c>
      <c r="S57" s="4">
        <f t="shared" si="64"/>
        <v>0.755662228477092</v>
      </c>
      <c r="T57" s="4" t="str">
        <f t="shared" si="52"/>
        <v>1+0,00241838770761379i</v>
      </c>
      <c r="U57" s="4">
        <f t="shared" si="65"/>
        <v>1.00000292429528</v>
      </c>
      <c r="V57" s="4">
        <f t="shared" si="66"/>
        <v>0.00241838299290361</v>
      </c>
      <c r="W57" t="str">
        <f t="shared" si="53"/>
        <v>1-0,00231350864886524i</v>
      </c>
      <c r="X57" s="4">
        <f t="shared" si="67"/>
        <v>1.00000267615755</v>
      </c>
      <c r="Y57" s="4">
        <f t="shared" si="68"/>
        <v>-0.00231350452133054</v>
      </c>
      <c r="Z57" t="str">
        <f t="shared" si="54"/>
        <v>0,999999995081146+0,000479226791550656i</v>
      </c>
      <c r="AA57" s="4">
        <f t="shared" si="69"/>
        <v>1.0000001099103</v>
      </c>
      <c r="AB57" s="4">
        <f t="shared" si="70"/>
        <v>0.000479226757221768</v>
      </c>
      <c r="AC57" s="67" t="str">
        <f t="shared" si="71"/>
        <v>86,6510895666641-81,7064248047746i</v>
      </c>
      <c r="AD57" s="68">
        <f t="shared" si="72"/>
        <v>41.5180947502861</v>
      </c>
      <c r="AE57" s="31">
        <f t="shared" si="73"/>
        <v>-43.3177050060235</v>
      </c>
      <c r="AF57" s="32" t="str">
        <f t="shared" si="74"/>
        <v>748,315388573934</v>
      </c>
      <c r="AG57" s="32" t="str">
        <f t="shared" si="55"/>
        <v>1+0,767742129401205i</v>
      </c>
      <c r="AH57" s="32">
        <f t="shared" si="75"/>
        <v>1.26072517911617</v>
      </c>
      <c r="AI57" s="32">
        <f t="shared" si="76"/>
        <v>0.654759711077905</v>
      </c>
      <c r="AJ57" s="32" t="str">
        <f t="shared" si="56"/>
        <v>1+0,00241838770761379i</v>
      </c>
      <c r="AK57" s="32">
        <f t="shared" si="77"/>
        <v>1.00000292429528</v>
      </c>
      <c r="AL57" s="32">
        <f t="shared" si="78"/>
        <v>0.00241838299290361</v>
      </c>
      <c r="AM57" s="32" t="str">
        <f t="shared" si="57"/>
        <v>1-0,000412207463113905i</v>
      </c>
      <c r="AN57" s="32">
        <f t="shared" si="79"/>
        <v>1.00000008495749</v>
      </c>
      <c r="AO57" s="32">
        <f t="shared" si="80"/>
        <v>-0.000412207439767165</v>
      </c>
      <c r="AP57" s="30" t="str">
        <f t="shared" si="81"/>
        <v>471,533609832381-360,514962147737i</v>
      </c>
      <c r="AQ57" s="32">
        <f t="shared" si="82"/>
        <v>55.4693111310467</v>
      </c>
      <c r="AR57" s="31">
        <f t="shared" si="83"/>
        <v>-37.4000226478121</v>
      </c>
      <c r="AS57" t="str">
        <f t="shared" si="58"/>
        <v>-0,0000504684572142411</v>
      </c>
      <c r="AT57" t="str">
        <f t="shared" si="59"/>
        <v>0,0000346563595600013i</v>
      </c>
      <c r="AU57">
        <f t="shared" si="84"/>
        <v>3.46563595600013e-5</v>
      </c>
      <c r="AV57">
        <f t="shared" si="85"/>
        <v>1.5707963267949</v>
      </c>
      <c r="AW57" t="str">
        <f t="shared" si="60"/>
        <v>1+0,00177434204341096i</v>
      </c>
      <c r="AX57">
        <f t="shared" si="86"/>
        <v>1.0000015741436</v>
      </c>
      <c r="AY57">
        <f t="shared" si="87"/>
        <v>0.00177434018136689</v>
      </c>
      <c r="AZ57" t="str">
        <f t="shared" si="61"/>
        <v>1+0,0848286504583919i</v>
      </c>
      <c r="BA57">
        <f t="shared" si="88"/>
        <v>1.00359150053126</v>
      </c>
      <c r="BB57">
        <f t="shared" si="89"/>
        <v>0.0846260516432649</v>
      </c>
      <c r="BC57" s="30" t="str">
        <f t="shared" si="90"/>
        <v>-0,120947776036358+1,45646845786036i</v>
      </c>
      <c r="BD57" s="32">
        <f t="shared" si="91"/>
        <v>3.29586758064476</v>
      </c>
      <c r="BE57" s="31">
        <f t="shared" si="92"/>
        <v>94.7470533922024</v>
      </c>
      <c r="BF57" s="30" t="str">
        <f t="shared" si="93"/>
        <v>108,522573958478+136,086789161099i</v>
      </c>
      <c r="BG57" s="68">
        <f t="shared" si="94"/>
        <v>44.8139623309309</v>
      </c>
      <c r="BH57" s="31">
        <f t="shared" si="95"/>
        <v>51.4293483861791</v>
      </c>
      <c r="BI57" s="30" t="str">
        <f t="shared" si="103"/>
        <v>468,047729519278+730,377312441497i</v>
      </c>
      <c r="BJ57" s="68">
        <f t="shared" si="97"/>
        <v>58.7651787116915</v>
      </c>
      <c r="BK57" s="31">
        <f t="shared" si="104"/>
        <v>57.3470307443904</v>
      </c>
      <c r="BL57" s="32">
        <f t="shared" si="99"/>
        <v>44.8139623309309</v>
      </c>
      <c r="BM57" s="31">
        <f t="shared" si="100"/>
        <v>51.4293483861791</v>
      </c>
      <c r="BO57">
        <f t="shared" si="101"/>
        <v>0</v>
      </c>
      <c r="BP57">
        <f t="shared" si="102"/>
        <v>0</v>
      </c>
    </row>
    <row r="58" spans="1:68">
      <c r="A58" t="s">
        <v>504</v>
      </c>
      <c r="B58" s="12">
        <f>-(RFBB*gm_ea)/(RFBB+RFBT)</f>
        <v>-5.04684572142411e-5</v>
      </c>
      <c r="C58" t="s">
        <v>244</v>
      </c>
      <c r="N58" s="7">
        <v>40</v>
      </c>
      <c r="O58" s="18">
        <f t="shared" si="62"/>
        <v>25.1188643150958</v>
      </c>
      <c r="P58" s="86" t="str">
        <f t="shared" si="50"/>
        <v>163,636363636364</v>
      </c>
      <c r="Q58" s="4" t="str">
        <f t="shared" si="51"/>
        <v>1+0,964176309280178i</v>
      </c>
      <c r="R58" s="4">
        <f t="shared" si="63"/>
        <v>1.38911337023914</v>
      </c>
      <c r="S58" s="4">
        <f t="shared" si="64"/>
        <v>0.767161654197946</v>
      </c>
      <c r="T58" s="4" t="str">
        <f t="shared" si="52"/>
        <v>1+0,00247471919381912i</v>
      </c>
      <c r="U58" s="4">
        <f t="shared" si="65"/>
        <v>1.00000306211286</v>
      </c>
      <c r="V58" s="4">
        <f t="shared" si="66"/>
        <v>0.00247471414191698</v>
      </c>
      <c r="W58" t="str">
        <f t="shared" si="53"/>
        <v>1-0,00236739718796472i</v>
      </c>
      <c r="X58" s="4">
        <f t="shared" si="67"/>
        <v>1.0000028022808</v>
      </c>
      <c r="Y58" s="4">
        <f t="shared" si="68"/>
        <v>-0.00236739276523228</v>
      </c>
      <c r="Z58" t="str">
        <f t="shared" si="54"/>
        <v>0,999999994849328+0,000490389417506978i</v>
      </c>
      <c r="AA58" s="4">
        <f t="shared" si="69"/>
        <v>1.00000011509021</v>
      </c>
      <c r="AB58" s="4">
        <f t="shared" si="70"/>
        <v>0.000490389380722911</v>
      </c>
      <c r="AC58" s="67" t="str">
        <f t="shared" si="71"/>
        <v>84,7708363521213-81,7967163426444i</v>
      </c>
      <c r="AD58" s="68">
        <f t="shared" si="72"/>
        <v>41.422892508138</v>
      </c>
      <c r="AE58" s="31">
        <f t="shared" si="73"/>
        <v>-43.9770731697149</v>
      </c>
      <c r="AF58" s="32" t="str">
        <f t="shared" si="74"/>
        <v>748,315388573934</v>
      </c>
      <c r="AG58" s="32" t="str">
        <f t="shared" si="55"/>
        <v>1+0,78562514089496i</v>
      </c>
      <c r="AH58" s="32">
        <f t="shared" si="75"/>
        <v>1.27169448453873</v>
      </c>
      <c r="AI58" s="32">
        <f t="shared" si="76"/>
        <v>0.665914117059619</v>
      </c>
      <c r="AJ58" s="32" t="str">
        <f t="shared" si="56"/>
        <v>1+0,00247471919381912i</v>
      </c>
      <c r="AK58" s="32">
        <f t="shared" si="77"/>
        <v>1.00000306211286</v>
      </c>
      <c r="AL58" s="32">
        <f t="shared" si="78"/>
        <v>0.00247471414191698</v>
      </c>
      <c r="AM58" s="32" t="str">
        <f t="shared" si="57"/>
        <v>1-0,000421809008370288i</v>
      </c>
      <c r="AN58" s="32">
        <f t="shared" si="79"/>
        <v>1.00000008896142</v>
      </c>
      <c r="AO58" s="32">
        <f t="shared" si="80"/>
        <v>-0.000421808983353805</v>
      </c>
      <c r="AP58" s="30" t="str">
        <f t="shared" si="81"/>
        <v>463,467651379264-362,575614631959i</v>
      </c>
      <c r="AQ58" s="32">
        <f t="shared" si="82"/>
        <v>55.3940651409842</v>
      </c>
      <c r="AR58" s="31">
        <f t="shared" si="83"/>
        <v>-38.0364456243705</v>
      </c>
      <c r="AS58" t="str">
        <f t="shared" si="58"/>
        <v>-0,0000504684572142411</v>
      </c>
      <c r="AT58" t="str">
        <f t="shared" si="59"/>
        <v>0,0000354636098757114i</v>
      </c>
      <c r="AU58">
        <f t="shared" si="84"/>
        <v>3.54636098757114e-5</v>
      </c>
      <c r="AV58">
        <f t="shared" si="85"/>
        <v>1.5707963267949</v>
      </c>
      <c r="AW58" t="str">
        <f t="shared" si="60"/>
        <v>1+0,00181567177893155i</v>
      </c>
      <c r="AX58">
        <f t="shared" si="86"/>
        <v>1.00000164833065</v>
      </c>
      <c r="AY58">
        <f t="shared" si="87"/>
        <v>0.00181566978371556</v>
      </c>
      <c r="AZ58" t="str">
        <f t="shared" si="61"/>
        <v>1+0,0868045635587063i</v>
      </c>
      <c r="BA58">
        <f t="shared" si="88"/>
        <v>1.00376044565156</v>
      </c>
      <c r="BB58">
        <f t="shared" si="89"/>
        <v>0.0865875189178679</v>
      </c>
      <c r="BC58" s="30" t="str">
        <f t="shared" si="90"/>
        <v>-0,120947758090874+1,42332507183066i</v>
      </c>
      <c r="BD58" s="32">
        <f t="shared" si="91"/>
        <v>3.09732900043009</v>
      </c>
      <c r="BE58" s="31">
        <f t="shared" si="92"/>
        <v>94.8570691769067</v>
      </c>
      <c r="BF58" s="30" t="str">
        <f t="shared" si="93"/>
        <v>106,170474555629+130,549586200866i</v>
      </c>
      <c r="BG58" s="68">
        <f t="shared" si="94"/>
        <v>44.5202215085681</v>
      </c>
      <c r="BH58" s="31">
        <f t="shared" si="95"/>
        <v>50.8799960071918</v>
      </c>
      <c r="BI58" s="30" t="str">
        <f t="shared" si="103"/>
        <v>460,007589358114+703,517835918734i</v>
      </c>
      <c r="BJ58" s="68">
        <f t="shared" si="97"/>
        <v>58.4913941414142</v>
      </c>
      <c r="BK58" s="31">
        <f t="shared" si="104"/>
        <v>56.8206235525362</v>
      </c>
      <c r="BL58" s="32">
        <f t="shared" si="99"/>
        <v>44.5202215085681</v>
      </c>
      <c r="BM58" s="31">
        <f t="shared" si="100"/>
        <v>50.8799960071918</v>
      </c>
      <c r="BO58">
        <f t="shared" si="101"/>
        <v>0</v>
      </c>
      <c r="BP58">
        <f t="shared" si="102"/>
        <v>0</v>
      </c>
    </row>
    <row r="59" spans="1:68">
      <c r="A59" t="s">
        <v>449</v>
      </c>
      <c r="B59" s="12">
        <f>1/(RCOMP*CCOMP)</f>
        <v>1818.18181818182</v>
      </c>
      <c r="E59" t="s">
        <v>505</v>
      </c>
      <c r="N59" s="7">
        <v>41</v>
      </c>
      <c r="O59" s="18">
        <f t="shared" si="62"/>
        <v>25.7039578276886</v>
      </c>
      <c r="P59" s="86" t="str">
        <f t="shared" si="50"/>
        <v>163,636363636364</v>
      </c>
      <c r="Q59" s="4" t="str">
        <f t="shared" si="51"/>
        <v>1+0,986634860609525i</v>
      </c>
      <c r="R59" s="4">
        <f t="shared" si="63"/>
        <v>1.40479477083664</v>
      </c>
      <c r="S59" s="4">
        <f t="shared" si="64"/>
        <v>0.778670738027418</v>
      </c>
      <c r="T59" s="4" t="str">
        <f t="shared" si="52"/>
        <v>1+0,00253236280889778i</v>
      </c>
      <c r="U59" s="4">
        <f t="shared" si="65"/>
        <v>1.00000320642556</v>
      </c>
      <c r="V59" s="4">
        <f t="shared" si="66"/>
        <v>0.00253235739568804</v>
      </c>
      <c r="W59" t="str">
        <f t="shared" si="53"/>
        <v>1-0,00242254095238946i</v>
      </c>
      <c r="X59" s="4">
        <f t="shared" si="67"/>
        <v>1.00000293434803</v>
      </c>
      <c r="Y59" s="4">
        <f t="shared" si="68"/>
        <v>-0.00242253621334702</v>
      </c>
      <c r="Z59" t="str">
        <f t="shared" si="54"/>
        <v>0,999999994606584+0,00050181205442353i</v>
      </c>
      <c r="AA59" s="4">
        <f t="shared" si="69"/>
        <v>1.00000012051425</v>
      </c>
      <c r="AB59" s="4">
        <f t="shared" si="70"/>
        <v>0.000501812015008693</v>
      </c>
      <c r="AC59" s="67" t="str">
        <f t="shared" si="71"/>
        <v>82,8874235851647-81,8437659541892i</v>
      </c>
      <c r="AD59" s="68">
        <f t="shared" si="72"/>
        <v>41.3253910509064</v>
      </c>
      <c r="AE59" s="31">
        <f t="shared" si="73"/>
        <v>-44.6370063396277</v>
      </c>
      <c r="AF59" s="32" t="str">
        <f t="shared" si="74"/>
        <v>748,315388573934</v>
      </c>
      <c r="AG59" s="32" t="str">
        <f t="shared" si="55"/>
        <v>1+0,80392470123739i</v>
      </c>
      <c r="AH59" s="32">
        <f t="shared" si="75"/>
        <v>1.28308024895547</v>
      </c>
      <c r="AI59" s="32">
        <f t="shared" si="76"/>
        <v>0.677129475364173</v>
      </c>
      <c r="AJ59" s="32" t="str">
        <f t="shared" si="56"/>
        <v>1+0,00253236280889778i</v>
      </c>
      <c r="AK59" s="32">
        <f t="shared" si="77"/>
        <v>1.00000320642556</v>
      </c>
      <c r="AL59" s="32">
        <f t="shared" si="78"/>
        <v>0.00253235739568804</v>
      </c>
      <c r="AM59" s="32" t="str">
        <f t="shared" si="57"/>
        <v>1-0,000431634202346209i</v>
      </c>
      <c r="AN59" s="32">
        <f t="shared" si="79"/>
        <v>1.00000009315404</v>
      </c>
      <c r="AO59" s="32">
        <f t="shared" si="80"/>
        <v>-0.000431634175540565</v>
      </c>
      <c r="AP59" s="30" t="str">
        <f t="shared" si="81"/>
        <v>455,313304267097-364,465604558835i</v>
      </c>
      <c r="AQ59" s="32">
        <f t="shared" si="82"/>
        <v>55.3166457905183</v>
      </c>
      <c r="AR59" s="31">
        <f t="shared" si="83"/>
        <v>-38.6762985478352</v>
      </c>
      <c r="AS59" t="str">
        <f t="shared" si="58"/>
        <v>-0,0000504684572142411</v>
      </c>
      <c r="AT59" t="str">
        <f t="shared" si="59"/>
        <v>0,000036289663466794i</v>
      </c>
      <c r="AU59">
        <f t="shared" si="84"/>
        <v>3.6289663466794e-5</v>
      </c>
      <c r="AV59">
        <f t="shared" si="85"/>
        <v>1.5707963267949</v>
      </c>
      <c r="AW59" t="str">
        <f t="shared" si="60"/>
        <v>1+0,00185796420766258i</v>
      </c>
      <c r="AX59">
        <f t="shared" si="86"/>
        <v>1.00000172601401</v>
      </c>
      <c r="AY59">
        <f t="shared" si="87"/>
        <v>0.00185796206975033</v>
      </c>
      <c r="AZ59" t="str">
        <f t="shared" si="61"/>
        <v>1+0,0888265015876133i</v>
      </c>
      <c r="BA59">
        <f t="shared" si="88"/>
        <v>1.00393732243816</v>
      </c>
      <c r="BB59">
        <f t="shared" si="89"/>
        <v>0.0885939832980965</v>
      </c>
      <c r="BC59" s="30" t="str">
        <f t="shared" si="90"/>
        <v>-0,120947739299649+1,3909363515909i</v>
      </c>
      <c r="BD59" s="32">
        <f t="shared" si="91"/>
        <v>2.89885876744111</v>
      </c>
      <c r="BE59" s="31">
        <f t="shared" si="92"/>
        <v>94.9696079481414</v>
      </c>
      <c r="BF59" s="30" t="str">
        <f t="shared" si="93"/>
        <v>103,814422717781+125,189949022247i</v>
      </c>
      <c r="BG59" s="68">
        <f t="shared" si="94"/>
        <v>44.2242498183475</v>
      </c>
      <c r="BH59" s="31">
        <f t="shared" si="95"/>
        <v>50.3326016085137</v>
      </c>
      <c r="BI59" s="30" t="str">
        <f t="shared" si="103"/>
        <v>451,879343461279+677,393117191944i</v>
      </c>
      <c r="BJ59" s="68">
        <f t="shared" si="97"/>
        <v>58.2155045579594</v>
      </c>
      <c r="BK59" s="31">
        <f t="shared" si="104"/>
        <v>56.2933094003062</v>
      </c>
      <c r="BL59" s="32">
        <f t="shared" si="99"/>
        <v>44.2242498183475</v>
      </c>
      <c r="BM59" s="31">
        <f t="shared" si="100"/>
        <v>50.3326016085137</v>
      </c>
      <c r="BO59">
        <f t="shared" si="101"/>
        <v>0</v>
      </c>
      <c r="BP59">
        <f t="shared" si="102"/>
        <v>0</v>
      </c>
    </row>
    <row r="60" spans="1:68">
      <c r="A60" t="s">
        <v>447</v>
      </c>
      <c r="B60" s="12">
        <f>(CCOMP+CHF)</f>
        <v>2.247e-7</v>
      </c>
      <c r="E60" t="s">
        <v>506</v>
      </c>
      <c r="N60" s="7">
        <v>42</v>
      </c>
      <c r="O60" s="18">
        <f t="shared" si="62"/>
        <v>26.3026799189538</v>
      </c>
      <c r="P60" s="86" t="str">
        <f t="shared" si="50"/>
        <v>163,636363636364</v>
      </c>
      <c r="Q60" s="4" t="str">
        <f t="shared" si="51"/>
        <v>1+1,00961653880162i</v>
      </c>
      <c r="R60" s="4">
        <f t="shared" si="63"/>
        <v>1.4210297517722</v>
      </c>
      <c r="S60" s="4">
        <f t="shared" si="64"/>
        <v>0.790183387451299</v>
      </c>
      <c r="T60" s="4" t="str">
        <f t="shared" si="52"/>
        <v>1+0,0025913491162575i</v>
      </c>
      <c r="U60" s="4">
        <f t="shared" si="65"/>
        <v>1.00000335753948</v>
      </c>
      <c r="V60" s="4">
        <f t="shared" si="66"/>
        <v>0.00259134331589981</v>
      </c>
      <c r="W60" t="str">
        <f t="shared" si="53"/>
        <v>1-0,00247896918009327i</v>
      </c>
      <c r="X60" s="4">
        <f t="shared" si="67"/>
        <v>1.00000307263938</v>
      </c>
      <c r="Y60" s="4">
        <f t="shared" si="68"/>
        <v>-0.00247896410211865</v>
      </c>
      <c r="Z60" t="str">
        <f t="shared" si="54"/>
        <v>0,9999999943524+0,000513500758733606i</v>
      </c>
      <c r="AA60" s="4">
        <f t="shared" si="69"/>
        <v>1.00000012619391</v>
      </c>
      <c r="AB60" s="4">
        <f t="shared" si="70"/>
        <v>0.000513500716499847</v>
      </c>
      <c r="AC60" s="67" t="str">
        <f t="shared" si="71"/>
        <v>81,0028436991554-81,8474491647327i</v>
      </c>
      <c r="AD60" s="68">
        <f t="shared" si="72"/>
        <v>41.225587739608</v>
      </c>
      <c r="AE60" s="31">
        <f t="shared" si="73"/>
        <v>-45.2971557114878</v>
      </c>
      <c r="AF60" s="32" t="str">
        <f t="shared" si="74"/>
        <v>748,315388573934</v>
      </c>
      <c r="AG60" s="32" t="str">
        <f t="shared" si="55"/>
        <v>1+0,822650513097619i</v>
      </c>
      <c r="AH60" s="32">
        <f t="shared" si="75"/>
        <v>1.29489531109653</v>
      </c>
      <c r="AI60" s="32">
        <f t="shared" si="76"/>
        <v>0.688400447414092</v>
      </c>
      <c r="AJ60" s="32" t="str">
        <f t="shared" si="56"/>
        <v>1+0,0025913491162575i</v>
      </c>
      <c r="AK60" s="32">
        <f t="shared" si="77"/>
        <v>1.00000335753948</v>
      </c>
      <c r="AL60" s="32">
        <f t="shared" si="78"/>
        <v>0.00259134331589981</v>
      </c>
      <c r="AM60" s="32" t="str">
        <f t="shared" si="57"/>
        <v>1-0,000441688254489568i</v>
      </c>
      <c r="AN60" s="32">
        <f t="shared" si="79"/>
        <v>1.00000009754425</v>
      </c>
      <c r="AO60" s="32">
        <f t="shared" si="80"/>
        <v>-0.000441688225766803</v>
      </c>
      <c r="AP60" s="30" t="str">
        <f t="shared" si="81"/>
        <v>447,077889944513-366,180231254378i</v>
      </c>
      <c r="AQ60" s="32">
        <f t="shared" si="82"/>
        <v>55.2370303706272</v>
      </c>
      <c r="AR60" s="31">
        <f t="shared" si="83"/>
        <v>-39.3192740876716</v>
      </c>
      <c r="AS60" t="str">
        <f t="shared" si="58"/>
        <v>-0,0000504684572142411</v>
      </c>
      <c r="AT60" t="str">
        <f t="shared" si="59"/>
        <v>0,0000371349583177972i</v>
      </c>
      <c r="AU60">
        <f t="shared" si="84"/>
        <v>3.71349583177972e-5</v>
      </c>
      <c r="AV60">
        <f t="shared" si="85"/>
        <v>1.5707963267949</v>
      </c>
      <c r="AW60" t="str">
        <f t="shared" si="60"/>
        <v>1+0,00190124175360958i</v>
      </c>
      <c r="AX60">
        <f t="shared" si="86"/>
        <v>1.00000180735847</v>
      </c>
      <c r="AY60">
        <f t="shared" si="87"/>
        <v>0.00190123946279555</v>
      </c>
      <c r="AZ60" t="str">
        <f t="shared" si="61"/>
        <v>1+0,0908955366034198i</v>
      </c>
      <c r="BA60">
        <f t="shared" si="88"/>
        <v>1.00412250177676</v>
      </c>
      <c r="BB60">
        <f t="shared" si="89"/>
        <v>0.0906464439795119</v>
      </c>
      <c r="BC60" s="30" t="str">
        <f t="shared" si="90"/>
        <v>-0,120947719622828+1,35928512421269i</v>
      </c>
      <c r="BD60" s="32">
        <f t="shared" si="91"/>
        <v>2.70046005231172</v>
      </c>
      <c r="BE60" s="31">
        <f t="shared" si="92"/>
        <v>95.0847256708332</v>
      </c>
      <c r="BF60" s="30" t="str">
        <f t="shared" si="93"/>
        <v>101,456910875998+120,005222792607i</v>
      </c>
      <c r="BG60" s="68">
        <f t="shared" si="94"/>
        <v>43.9260477919197</v>
      </c>
      <c r="BH60" s="31">
        <f t="shared" si="95"/>
        <v>49.7875699593454</v>
      </c>
      <c r="BI60" s="30" t="str">
        <f t="shared" si="103"/>
        <v>443,670289842264+651,994989107152i</v>
      </c>
      <c r="BJ60" s="68">
        <f t="shared" si="97"/>
        <v>57.937490422939</v>
      </c>
      <c r="BK60" s="31">
        <f t="shared" si="104"/>
        <v>55.7654515831616</v>
      </c>
      <c r="BL60" s="32">
        <f t="shared" si="99"/>
        <v>43.9260477919197</v>
      </c>
      <c r="BM60" s="31">
        <f t="shared" si="100"/>
        <v>49.7875699593454</v>
      </c>
      <c r="BO60">
        <f t="shared" si="101"/>
        <v>0</v>
      </c>
      <c r="BP60">
        <f t="shared" si="102"/>
        <v>0</v>
      </c>
    </row>
    <row r="61" spans="1:68">
      <c r="A61" t="s">
        <v>448</v>
      </c>
      <c r="B61" s="12">
        <f>(CCOMP+CHF)/(RCOMP*CHF*CCOMP)</f>
        <v>86924.5647969052</v>
      </c>
      <c r="E61" t="s">
        <v>507</v>
      </c>
      <c r="N61" s="7">
        <v>43</v>
      </c>
      <c r="O61" s="18">
        <f t="shared" si="62"/>
        <v>26.9153480392692</v>
      </c>
      <c r="P61" s="86" t="str">
        <f t="shared" si="50"/>
        <v>163,636363636364</v>
      </c>
      <c r="Q61" s="4" t="str">
        <f t="shared" si="51"/>
        <v>1+1,03313352904645i</v>
      </c>
      <c r="R61" s="4">
        <f t="shared" si="63"/>
        <v>1.43783340093349</v>
      </c>
      <c r="S61" s="4">
        <f t="shared" si="64"/>
        <v>0.801693500513318</v>
      </c>
      <c r="T61" s="4" t="str">
        <f t="shared" si="52"/>
        <v>1+0,00265170939121923i</v>
      </c>
      <c r="U61" s="4">
        <f t="shared" si="65"/>
        <v>1.00000351577517</v>
      </c>
      <c r="V61" s="4">
        <f t="shared" si="66"/>
        <v>0.00265170317602517</v>
      </c>
      <c r="W61" t="str">
        <f t="shared" si="53"/>
        <v>1-0,00253671179006942i</v>
      </c>
      <c r="X61" s="4">
        <f t="shared" si="67"/>
        <v>1.00000321744818</v>
      </c>
      <c r="Y61" s="4">
        <f t="shared" si="68"/>
        <v>-0.00253670634892253</v>
      </c>
      <c r="Z61" t="str">
        <f t="shared" si="54"/>
        <v>0,999999994086237+0,00052546172794295i</v>
      </c>
      <c r="AA61" s="4">
        <f t="shared" si="69"/>
        <v>1.00000013214124</v>
      </c>
      <c r="AB61" s="4">
        <f t="shared" si="70"/>
        <v>0.000525461682688663</v>
      </c>
      <c r="AC61" s="67" t="str">
        <f t="shared" si="71"/>
        <v>79,1190940707824-81,8077562901638i</v>
      </c>
      <c r="AD61" s="68">
        <f t="shared" si="72"/>
        <v>41.1234823736193</v>
      </c>
      <c r="AE61" s="31">
        <f t="shared" si="73"/>
        <v>-45.9571719463459</v>
      </c>
      <c r="AF61" s="32" t="str">
        <f t="shared" si="74"/>
        <v>748,315388573934</v>
      </c>
      <c r="AG61" s="32" t="str">
        <f t="shared" si="55"/>
        <v>1+0,841812505148962i</v>
      </c>
      <c r="AH61" s="32">
        <f t="shared" si="75"/>
        <v>1.30715274311198</v>
      </c>
      <c r="AI61" s="32">
        <f t="shared" si="76"/>
        <v>0.699721555477931</v>
      </c>
      <c r="AJ61" s="32" t="str">
        <f t="shared" si="56"/>
        <v>1+0,00265170939121923i</v>
      </c>
      <c r="AK61" s="32">
        <f t="shared" si="77"/>
        <v>1.00000351577517</v>
      </c>
      <c r="AL61" s="32">
        <f t="shared" si="78"/>
        <v>0.00265170317602517</v>
      </c>
      <c r="AM61" s="32" t="str">
        <f t="shared" si="57"/>
        <v>1-0,000451976495591894i</v>
      </c>
      <c r="AN61" s="32">
        <f t="shared" si="79"/>
        <v>1.00000010214137</v>
      </c>
      <c r="AO61" s="32">
        <f t="shared" si="80"/>
        <v>-0.000451976464814897</v>
      </c>
      <c r="AP61" s="30" t="str">
        <f t="shared" si="81"/>
        <v>438,769049570401-367,715178824139i</v>
      </c>
      <c r="AQ61" s="32">
        <f t="shared" si="82"/>
        <v>55.1551981777167</v>
      </c>
      <c r="AR61" s="31">
        <f t="shared" si="83"/>
        <v>-39.96505690658</v>
      </c>
      <c r="AS61" t="str">
        <f t="shared" si="58"/>
        <v>-0,0000504684572142411</v>
      </c>
      <c r="AT61" t="str">
        <f t="shared" si="59"/>
        <v>0,0000379999426152399i</v>
      </c>
      <c r="AU61">
        <f t="shared" si="84"/>
        <v>3.79999426152399e-5</v>
      </c>
      <c r="AV61">
        <f t="shared" si="85"/>
        <v>1.5707963267949</v>
      </c>
      <c r="AW61" t="str">
        <f t="shared" si="60"/>
        <v>1+0,00194552736310026i</v>
      </c>
      <c r="AX61">
        <f t="shared" si="86"/>
        <v>1.00000189253657</v>
      </c>
      <c r="AY61">
        <f t="shared" si="87"/>
        <v>0.00194552490844906</v>
      </c>
      <c r="AZ61" t="str">
        <f t="shared" si="61"/>
        <v>1+0,0930127656358785i</v>
      </c>
      <c r="BA61">
        <f t="shared" si="88"/>
        <v>1.00431637175306</v>
      </c>
      <c r="BB61">
        <f t="shared" si="89"/>
        <v>0.0927459199961732</v>
      </c>
      <c r="BC61" s="30" t="str">
        <f t="shared" si="90"/>
        <v>-0,120947699018674+1,32835460779606i</v>
      </c>
      <c r="BD61" s="32">
        <f t="shared" si="91"/>
        <v>2.50213617029338</v>
      </c>
      <c r="BE61" s="31">
        <f t="shared" si="92"/>
        <v>95.202479416647</v>
      </c>
      <c r="BF61" s="30" t="str">
        <f t="shared" si="93"/>
        <v>99,100437645193+114,992673058749i</v>
      </c>
      <c r="BG61" s="68">
        <f t="shared" si="94"/>
        <v>43.6256185439127</v>
      </c>
      <c r="BH61" s="31">
        <f t="shared" si="95"/>
        <v>49.245307470301</v>
      </c>
      <c r="BI61" s="30" t="str">
        <f t="shared" si="103"/>
        <v>435,388045201447+627,31519352816i</v>
      </c>
      <c r="BJ61" s="68">
        <f t="shared" si="97"/>
        <v>57.65733434801</v>
      </c>
      <c r="BK61" s="31">
        <f t="shared" si="104"/>
        <v>55.237422510067</v>
      </c>
      <c r="BL61" s="32">
        <f t="shared" si="99"/>
        <v>43.6256185439127</v>
      </c>
      <c r="BM61" s="31">
        <f t="shared" si="100"/>
        <v>49.245307470301</v>
      </c>
      <c r="BO61">
        <f t="shared" si="101"/>
        <v>0</v>
      </c>
      <c r="BP61">
        <f t="shared" si="102"/>
        <v>0</v>
      </c>
    </row>
    <row r="62" spans="1:68">
      <c r="N62" s="7">
        <v>44</v>
      </c>
      <c r="O62" s="18">
        <f t="shared" si="62"/>
        <v>27.5422870333817</v>
      </c>
      <c r="P62" s="86" t="str">
        <f t="shared" si="50"/>
        <v>163,636363636364</v>
      </c>
      <c r="Q62" s="4" t="str">
        <f t="shared" si="51"/>
        <v>1+1,05719830036352i</v>
      </c>
      <c r="R62" s="4">
        <f t="shared" si="63"/>
        <v>1.45522103004716</v>
      </c>
      <c r="S62" s="4">
        <f t="shared" si="64"/>
        <v>0.813194981974469</v>
      </c>
      <c r="T62" s="4" t="str">
        <f t="shared" si="52"/>
        <v>1+0,00271347563759971i</v>
      </c>
      <c r="U62" s="4">
        <f t="shared" si="65"/>
        <v>1.00000368146824</v>
      </c>
      <c r="V62" s="4">
        <f t="shared" si="66"/>
        <v>0.00271346897790062</v>
      </c>
      <c r="W62" t="str">
        <f t="shared" si="53"/>
        <v>1-0,00259579939821401i</v>
      </c>
      <c r="X62" s="4">
        <f t="shared" si="67"/>
        <v>1.00000336908158</v>
      </c>
      <c r="Y62" s="4">
        <f t="shared" si="68"/>
        <v>-0.00259579356792113</v>
      </c>
      <c r="Z62" t="str">
        <f t="shared" si="54"/>
        <v>0,99999999380753+0,000537701303915758i</v>
      </c>
      <c r="AA62" s="4">
        <f t="shared" si="69"/>
        <v>1.00000013836887</v>
      </c>
      <c r="AB62" s="4">
        <f t="shared" si="70"/>
        <v>0.000537701255424916</v>
      </c>
      <c r="AC62" s="67" t="str">
        <f t="shared" si="71"/>
        <v>77,238168559701-81,7247924995536i</v>
      </c>
      <c r="AD62" s="68">
        <f t="shared" si="72"/>
        <v>41.0190771915597</v>
      </c>
      <c r="AE62" s="31">
        <f t="shared" si="73"/>
        <v>-46.6167060965847</v>
      </c>
      <c r="AF62" s="32" t="str">
        <f t="shared" si="74"/>
        <v>748,315388573934</v>
      </c>
      <c r="AG62" s="32" t="str">
        <f t="shared" si="55"/>
        <v>1+0,861420837333241i</v>
      </c>
      <c r="AH62" s="32">
        <f t="shared" si="75"/>
        <v>1.31986584886188</v>
      </c>
      <c r="AI62" s="32">
        <f t="shared" si="76"/>
        <v>0.711087194944649</v>
      </c>
      <c r="AJ62" s="32" t="str">
        <f t="shared" si="56"/>
        <v>1+0,00271347563759971i</v>
      </c>
      <c r="AK62" s="32">
        <f t="shared" si="77"/>
        <v>1.00000368146824</v>
      </c>
      <c r="AL62" s="32">
        <f t="shared" si="78"/>
        <v>0.00271346897790062</v>
      </c>
      <c r="AM62" s="32" t="str">
        <f t="shared" si="57"/>
        <v>1-0,000462504380614799i</v>
      </c>
      <c r="AN62" s="32">
        <f t="shared" si="79"/>
        <v>1.00000010695515</v>
      </c>
      <c r="AO62" s="32">
        <f t="shared" si="80"/>
        <v>-0.000462504347636653</v>
      </c>
      <c r="AP62" s="30" t="str">
        <f t="shared" si="81"/>
        <v>430,394718070224-369,066541993017i</v>
      </c>
      <c r="AQ62" s="32">
        <f t="shared" si="82"/>
        <v>55.0711305958779</v>
      </c>
      <c r="AR62" s="31">
        <f t="shared" si="83"/>
        <v>-40.6133243629775</v>
      </c>
      <c r="AS62" t="str">
        <f t="shared" si="58"/>
        <v>-0,0000504684572142411</v>
      </c>
      <c r="AT62" t="str">
        <f t="shared" si="59"/>
        <v>0,0000388850749852457i</v>
      </c>
      <c r="AU62">
        <f t="shared" si="84"/>
        <v>3.88850749852457e-5</v>
      </c>
      <c r="AV62">
        <f t="shared" si="85"/>
        <v>1.5707963267949</v>
      </c>
      <c r="AW62" t="str">
        <f t="shared" si="60"/>
        <v>1+0,00199084451695096i</v>
      </c>
      <c r="AX62">
        <f t="shared" si="86"/>
        <v>1.00000198172898</v>
      </c>
      <c r="AY62">
        <f t="shared" si="87"/>
        <v>0.00199084188674509</v>
      </c>
      <c r="AZ62" t="str">
        <f t="shared" si="61"/>
        <v>1+0,0951793112678467i</v>
      </c>
      <c r="BA62">
        <f t="shared" si="88"/>
        <v>1.00451933843676</v>
      </c>
      <c r="BB62">
        <f t="shared" si="89"/>
        <v>0.0948934504445994</v>
      </c>
      <c r="BC62" s="30" t="str">
        <f t="shared" si="90"/>
        <v>-0,120947677443484+1,29812840257158i</v>
      </c>
      <c r="BD62" s="32">
        <f t="shared" si="91"/>
        <v>2.30389058761622</v>
      </c>
      <c r="BE62" s="31">
        <f t="shared" si="92"/>
        <v>95.322927376121</v>
      </c>
      <c r="BF62" s="30" t="str">
        <f t="shared" si="93"/>
        <v>96,7474972406552+110,149484212331i</v>
      </c>
      <c r="BG62" s="68">
        <f t="shared" si="94"/>
        <v>43.3229677791759</v>
      </c>
      <c r="BH62" s="31">
        <f t="shared" si="95"/>
        <v>48.7062212795364</v>
      </c>
      <c r="BI62" s="30" t="str">
        <f t="shared" si="103"/>
        <v>427,040519065475+603,345348919899i</v>
      </c>
      <c r="BJ62" s="68">
        <f t="shared" si="97"/>
        <v>57.3750211834942</v>
      </c>
      <c r="BK62" s="31">
        <f t="shared" si="104"/>
        <v>54.7096030131436</v>
      </c>
      <c r="BL62" s="32">
        <f t="shared" si="99"/>
        <v>43.3229677791759</v>
      </c>
      <c r="BM62" s="31">
        <f t="shared" si="100"/>
        <v>48.7062212795364</v>
      </c>
      <c r="BO62">
        <f t="shared" si="101"/>
        <v>0</v>
      </c>
      <c r="BP62">
        <f t="shared" si="102"/>
        <v>0</v>
      </c>
    </row>
    <row r="63" spans="1:68">
      <c r="N63" s="7">
        <v>45</v>
      </c>
      <c r="O63" s="18">
        <f t="shared" si="62"/>
        <v>28.1838293126445</v>
      </c>
      <c r="P63" s="86" t="str">
        <f t="shared" si="50"/>
        <v>163,636363636364</v>
      </c>
      <c r="Q63" s="4" t="str">
        <f t="shared" si="51"/>
        <v>1+1,08182361221311i</v>
      </c>
      <c r="R63" s="4">
        <f t="shared" si="63"/>
        <v>1.47320817535806</v>
      </c>
      <c r="S63" s="4">
        <f t="shared" si="64"/>
        <v>0.82468175942899</v>
      </c>
      <c r="T63" s="4" t="str">
        <f t="shared" si="52"/>
        <v>1+0,00277668060468032i</v>
      </c>
      <c r="U63" s="4">
        <f t="shared" si="65"/>
        <v>1.00000385497016</v>
      </c>
      <c r="V63" s="4">
        <f t="shared" si="66"/>
        <v>0.00277667346868566</v>
      </c>
      <c r="W63" t="str">
        <f t="shared" si="53"/>
        <v>1-0,00265626333355898i</v>
      </c>
      <c r="X63" s="4">
        <f t="shared" si="67"/>
        <v>1.00000352786123</v>
      </c>
      <c r="Y63" s="4">
        <f t="shared" si="68"/>
        <v>-0.00265625708628879</v>
      </c>
      <c r="Z63" t="str">
        <f t="shared" si="54"/>
        <v>0,999999993515688+0,000550225976237216i</v>
      </c>
      <c r="AA63" s="4">
        <f t="shared" si="69"/>
        <v>1.00000014488999</v>
      </c>
      <c r="AB63" s="4">
        <f t="shared" si="70"/>
        <v>0.000550225924278343</v>
      </c>
      <c r="AC63" s="67" t="str">
        <f t="shared" si="71"/>
        <v>75,3620490797821-81,5987771366592i</v>
      </c>
      <c r="AD63" s="68">
        <f t="shared" si="72"/>
        <v>40.9123768618498</v>
      </c>
      <c r="AE63" s="31">
        <f t="shared" si="73"/>
        <v>-47.2754105294486</v>
      </c>
      <c r="AF63" s="32" t="str">
        <f t="shared" si="74"/>
        <v>748,315388573934</v>
      </c>
      <c r="AG63" s="32" t="str">
        <f t="shared" si="55"/>
        <v>1+0,88148590624772i</v>
      </c>
      <c r="AH63" s="32">
        <f t="shared" si="75"/>
        <v>1.33304816226323</v>
      </c>
      <c r="AI63" s="32">
        <f t="shared" si="76"/>
        <v>0.722491647363796</v>
      </c>
      <c r="AJ63" s="32" t="str">
        <f t="shared" si="56"/>
        <v>1+0,00277668060468032i</v>
      </c>
      <c r="AK63" s="32">
        <f t="shared" si="77"/>
        <v>1.00000385497016</v>
      </c>
      <c r="AL63" s="32">
        <f t="shared" si="78"/>
        <v>0.00277667346868566</v>
      </c>
      <c r="AM63" s="32" t="str">
        <f t="shared" si="57"/>
        <v>1-0,000473277491582272i</v>
      </c>
      <c r="AN63" s="32">
        <f t="shared" si="79"/>
        <v>1.00000011199579</v>
      </c>
      <c r="AO63" s="32">
        <f t="shared" si="80"/>
        <v>-0.000473277456245552</v>
      </c>
      <c r="AP63" s="30" t="str">
        <f t="shared" si="81"/>
        <v>421,963095750916-370,230849865469i</v>
      </c>
      <c r="AQ63" s="32">
        <f t="shared" si="82"/>
        <v>54.984811171864</v>
      </c>
      <c r="AR63" s="31">
        <f t="shared" si="83"/>
        <v>-41.2637472573396</v>
      </c>
      <c r="AS63" t="str">
        <f t="shared" si="58"/>
        <v>-0,0000504684572142411</v>
      </c>
      <c r="AT63" t="str">
        <f t="shared" si="59"/>
        <v>0,0000397908247367135i</v>
      </c>
      <c r="AU63">
        <f t="shared" si="84"/>
        <v>3.97908247367135e-5</v>
      </c>
      <c r="AV63">
        <f t="shared" si="85"/>
        <v>1.5707963267949</v>
      </c>
      <c r="AW63" t="str">
        <f t="shared" si="60"/>
        <v>1+0,00203721724291647i</v>
      </c>
      <c r="AX63">
        <f t="shared" si="86"/>
        <v>1.00000207512489</v>
      </c>
      <c r="AY63">
        <f t="shared" si="87"/>
        <v>0.00203721442460042</v>
      </c>
      <c r="AZ63" t="str">
        <f t="shared" si="61"/>
        <v>1+0,0973963222304956i</v>
      </c>
      <c r="BA63">
        <f t="shared" si="88"/>
        <v>1.00473182670005</v>
      </c>
      <c r="BB63">
        <f t="shared" si="89"/>
        <v>0.0970900946968263</v>
      </c>
      <c r="BC63" s="30" t="str">
        <f t="shared" si="90"/>
        <v>-0,120947654851494+1,26859048220484i</v>
      </c>
      <c r="BD63" s="32">
        <f t="shared" si="91"/>
        <v>2.10572692810558</v>
      </c>
      <c r="BE63" s="31">
        <f t="shared" si="92"/>
        <v>95.4461288701609</v>
      </c>
      <c r="BF63" s="30" t="str">
        <f t="shared" si="93"/>
        <v>94,4005689341169+105,472758915494i</v>
      </c>
      <c r="BG63" s="68">
        <f t="shared" si="94"/>
        <v>43.0181037899554</v>
      </c>
      <c r="BH63" s="31">
        <f t="shared" si="95"/>
        <v>48.1707183407122</v>
      </c>
      <c r="BI63" s="30" t="str">
        <f t="shared" si="103"/>
        <v>418,635885492993+580,076920156206i</v>
      </c>
      <c r="BJ63" s="68">
        <f t="shared" si="97"/>
        <v>57.0905380999696</v>
      </c>
      <c r="BK63" s="31">
        <f t="shared" si="104"/>
        <v>54.1823816128213</v>
      </c>
      <c r="BL63" s="32">
        <f t="shared" si="99"/>
        <v>43.0181037899554</v>
      </c>
      <c r="BM63" s="31">
        <f t="shared" si="100"/>
        <v>48.1707183407122</v>
      </c>
      <c r="BO63">
        <f t="shared" si="101"/>
        <v>0</v>
      </c>
      <c r="BP63">
        <f t="shared" si="102"/>
        <v>0</v>
      </c>
    </row>
    <row r="64" spans="1:68">
      <c r="N64" s="7">
        <v>46</v>
      </c>
      <c r="O64" s="18">
        <f t="shared" si="62"/>
        <v>28.8403150312661</v>
      </c>
      <c r="P64" s="86" t="str">
        <f t="shared" si="50"/>
        <v>163,636363636364</v>
      </c>
      <c r="Q64" s="4" t="str">
        <f t="shared" si="51"/>
        <v>1+1,10702252126153i</v>
      </c>
      <c r="R64" s="4">
        <f t="shared" si="63"/>
        <v>1.49181059876254</v>
      </c>
      <c r="S64" s="4">
        <f t="shared" si="64"/>
        <v>0.836147799273221</v>
      </c>
      <c r="T64" s="4" t="str">
        <f t="shared" si="52"/>
        <v>1+0,00284135780457127i</v>
      </c>
      <c r="U64" s="4">
        <f t="shared" si="65"/>
        <v>1.00000403664894</v>
      </c>
      <c r="V64" s="4">
        <f t="shared" si="66"/>
        <v>0.0028413501582169</v>
      </c>
      <c r="W64" t="str">
        <f t="shared" si="53"/>
        <v>1-0,00271813565488323i</v>
      </c>
      <c r="X64" s="4">
        <f t="shared" si="67"/>
        <v>1.0000036941239</v>
      </c>
      <c r="Y64" s="4">
        <f t="shared" si="68"/>
        <v>-0.00271812896081396</v>
      </c>
      <c r="Z64" t="str">
        <f t="shared" si="54"/>
        <v>0,999999993210092+0,000563042385654384i</v>
      </c>
      <c r="AA64" s="4">
        <f t="shared" si="69"/>
        <v>1.00000015171844</v>
      </c>
      <c r="AB64" s="4">
        <f t="shared" si="70"/>
        <v>0.000563042329979449</v>
      </c>
      <c r="AC64" s="67" t="str">
        <f t="shared" si="71"/>
        <v>73,4926972775504-81,4300423084399i</v>
      </c>
      <c r="AD64" s="68">
        <f t="shared" si="72"/>
        <v>40.803388463031</v>
      </c>
      <c r="AE64" s="31">
        <f t="shared" si="73"/>
        <v>-47.9329398421447</v>
      </c>
      <c r="AF64" s="32" t="str">
        <f t="shared" si="74"/>
        <v>748,315388573934</v>
      </c>
      <c r="AG64" s="32" t="str">
        <f t="shared" si="55"/>
        <v>1+0,902018350657547i</v>
      </c>
      <c r="AH64" s="32">
        <f t="shared" si="75"/>
        <v>1.34671344573482</v>
      </c>
      <c r="AI64" s="32">
        <f t="shared" si="76"/>
        <v>0.733929094183235</v>
      </c>
      <c r="AJ64" s="32" t="str">
        <f t="shared" si="56"/>
        <v>1+0,00284135780457127i</v>
      </c>
      <c r="AK64" s="32">
        <f t="shared" si="77"/>
        <v>1.00000403664894</v>
      </c>
      <c r="AL64" s="32">
        <f t="shared" si="78"/>
        <v>0.0028413501582169</v>
      </c>
      <c r="AM64" s="32" t="str">
        <f t="shared" si="57"/>
        <v>1-0,000484301540540356i</v>
      </c>
      <c r="AN64" s="32">
        <f t="shared" si="79"/>
        <v>1.00000011727398</v>
      </c>
      <c r="AO64" s="32">
        <f t="shared" si="80"/>
        <v>-0.000484301502676378</v>
      </c>
      <c r="AP64" s="30" t="str">
        <f t="shared" si="81"/>
        <v>413,482617670661-371,205087342746i</v>
      </c>
      <c r="AQ64" s="32">
        <f t="shared" si="82"/>
        <v>54.896225682153</v>
      </c>
      <c r="AR64" s="31">
        <f t="shared" si="83"/>
        <v>-41.9159906184894</v>
      </c>
      <c r="AS64" t="str">
        <f t="shared" si="58"/>
        <v>-0,0000504684572142411</v>
      </c>
      <c r="AT64" t="str">
        <f t="shared" si="59"/>
        <v>0,0000407176721101507i</v>
      </c>
      <c r="AU64">
        <f t="shared" si="84"/>
        <v>4.07176721101507e-5</v>
      </c>
      <c r="AV64">
        <f t="shared" si="85"/>
        <v>1.5707963267949</v>
      </c>
      <c r="AW64" t="str">
        <f t="shared" si="60"/>
        <v>1+0,00208467012842995i</v>
      </c>
      <c r="AX64">
        <f t="shared" si="86"/>
        <v>1.00000217292241</v>
      </c>
      <c r="AY64">
        <f t="shared" si="87"/>
        <v>0.00208466710855025</v>
      </c>
      <c r="AZ64" t="str">
        <f t="shared" si="61"/>
        <v>1+0,099664974012385i</v>
      </c>
      <c r="BA64">
        <f t="shared" si="88"/>
        <v>1.00495428107197</v>
      </c>
      <c r="BB64">
        <f t="shared" si="89"/>
        <v>0.0993369326012563</v>
      </c>
      <c r="BC64" s="30" t="str">
        <f t="shared" si="90"/>
        <v>-0,120947631194786+1,2397251852992i</v>
      </c>
      <c r="BD64" s="32">
        <f t="shared" si="91"/>
        <v>1.90764898006562</v>
      </c>
      <c r="BE64" s="31">
        <f t="shared" si="92"/>
        <v>95.5721443608178</v>
      </c>
      <c r="BF64" s="30" t="str">
        <f t="shared" si="93"/>
        <v>92,0621066439171+100,959518475846i</v>
      </c>
      <c r="BG64" s="68">
        <f t="shared" si="94"/>
        <v>42.7110374430966</v>
      </c>
      <c r="BH64" s="31">
        <f t="shared" si="95"/>
        <v>47.6392045186731</v>
      </c>
      <c r="BI64" s="30" t="str">
        <f t="shared" si="103"/>
        <v>410,182552542506+557,501190811317i</v>
      </c>
      <c r="BJ64" s="68">
        <f t="shared" si="97"/>
        <v>56.8038746622186</v>
      </c>
      <c r="BK64" s="31">
        <f t="shared" si="104"/>
        <v>53.6561537423283</v>
      </c>
      <c r="BL64" s="32">
        <f t="shared" si="99"/>
        <v>42.7110374430966</v>
      </c>
      <c r="BM64" s="31">
        <f t="shared" si="100"/>
        <v>47.6392045186731</v>
      </c>
      <c r="BO64">
        <f t="shared" si="101"/>
        <v>0</v>
      </c>
      <c r="BP64">
        <f t="shared" si="102"/>
        <v>0</v>
      </c>
    </row>
    <row r="65" spans="1:68">
      <c r="A65" s="79" t="s">
        <v>508</v>
      </c>
      <c r="N65" s="7">
        <v>47</v>
      </c>
      <c r="O65" s="18">
        <f t="shared" si="62"/>
        <v>29.5120922666639</v>
      </c>
      <c r="P65" s="86" t="str">
        <f t="shared" si="50"/>
        <v>163,636363636364</v>
      </c>
      <c r="Q65" s="4" t="str">
        <f t="shared" si="51"/>
        <v>1+1,1328083883039i</v>
      </c>
      <c r="R65" s="4">
        <f t="shared" si="63"/>
        <v>1.51104428942757</v>
      </c>
      <c r="S65" s="4">
        <f t="shared" si="64"/>
        <v>0.847587122425275</v>
      </c>
      <c r="T65" s="4" t="str">
        <f t="shared" si="52"/>
        <v>1+0,00290754152998001i</v>
      </c>
      <c r="U65" s="4">
        <f t="shared" si="65"/>
        <v>1.00000422688994</v>
      </c>
      <c r="V65" s="4">
        <f t="shared" si="66"/>
        <v>0.00290753333676556</v>
      </c>
      <c r="W65" t="str">
        <f t="shared" si="53"/>
        <v>1-0,00278144916771047i</v>
      </c>
      <c r="X65" s="4">
        <f t="shared" si="67"/>
        <v>1.00000386822225</v>
      </c>
      <c r="Y65" s="4">
        <f t="shared" si="68"/>
        <v>-0.00278144199488751</v>
      </c>
      <c r="Z65" t="str">
        <f t="shared" si="54"/>
        <v>0,999999992890093+0,000576157327597168i</v>
      </c>
      <c r="AA65" s="4">
        <f t="shared" si="69"/>
        <v>1.00000015886871</v>
      </c>
      <c r="AB65" s="4">
        <f t="shared" si="70"/>
        <v>0.000576157267940401</v>
      </c>
      <c r="AC65" s="67" t="str">
        <f t="shared" si="71"/>
        <v>71,6320463917291-81,2190307574585i</v>
      </c>
      <c r="AD65" s="68">
        <f t="shared" si="72"/>
        <v>40.6921214540217</v>
      </c>
      <c r="AE65" s="31">
        <f t="shared" si="73"/>
        <v>-48.5889517626724</v>
      </c>
      <c r="AF65" s="32" t="str">
        <f t="shared" si="74"/>
        <v>748,315388573934</v>
      </c>
      <c r="AG65" s="32" t="str">
        <f t="shared" si="55"/>
        <v>1+0,923029057136511i</v>
      </c>
      <c r="AH65" s="32">
        <f t="shared" si="75"/>
        <v>1.36087568878216</v>
      </c>
      <c r="AI65" s="32">
        <f t="shared" si="76"/>
        <v>0.745393631108293</v>
      </c>
      <c r="AJ65" s="32" t="str">
        <f t="shared" si="56"/>
        <v>1+0,00290754152998001i</v>
      </c>
      <c r="AK65" s="32">
        <f t="shared" si="77"/>
        <v>1.00000422688994</v>
      </c>
      <c r="AL65" s="32">
        <f t="shared" si="78"/>
        <v>0.00290753333676556</v>
      </c>
      <c r="AM65" s="32" t="str">
        <f t="shared" si="57"/>
        <v>1-0,000495582372585719i</v>
      </c>
      <c r="AN65" s="32">
        <f t="shared" si="79"/>
        <v>1.00000012280094</v>
      </c>
      <c r="AO65" s="32">
        <f t="shared" si="80"/>
        <v>-0.000495582332013736</v>
      </c>
      <c r="AP65" s="30" t="str">
        <f t="shared" si="81"/>
        <v>404,961920991875-371,98671395523i</v>
      </c>
      <c r="AQ65" s="32">
        <f t="shared" si="82"/>
        <v>54.8053621915299</v>
      </c>
      <c r="AR65" s="31">
        <f t="shared" si="83"/>
        <v>-42.5697145254719</v>
      </c>
      <c r="AS65" t="str">
        <f t="shared" si="58"/>
        <v>-0,0000504684572142411</v>
      </c>
      <c r="AT65" t="str">
        <f t="shared" si="59"/>
        <v>0,0000416661085323027i</v>
      </c>
      <c r="AU65">
        <f t="shared" si="84"/>
        <v>4.16661085323027e-5</v>
      </c>
      <c r="AV65">
        <f t="shared" si="85"/>
        <v>1.5707963267949</v>
      </c>
      <c r="AW65" t="str">
        <f t="shared" si="60"/>
        <v>1+0,00213322833363939i</v>
      </c>
      <c r="AX65">
        <f t="shared" si="86"/>
        <v>1.00000227532897</v>
      </c>
      <c r="AY65">
        <f t="shared" si="87"/>
        <v>0.00213322509778039</v>
      </c>
      <c r="AZ65" t="str">
        <f t="shared" si="61"/>
        <v>1+0,101986469482717i</v>
      </c>
      <c r="BA65">
        <f t="shared" si="88"/>
        <v>1.00518716662995</v>
      </c>
      <c r="BB65">
        <f t="shared" si="89"/>
        <v>0.101635064669901</v>
      </c>
      <c r="BC65" s="30" t="str">
        <f t="shared" si="90"/>
        <v>-0,120947606423182+1,21151720709187i</v>
      </c>
      <c r="BD65" s="32">
        <f t="shared" si="91"/>
        <v>1.70966070343544</v>
      </c>
      <c r="BE65" s="31">
        <f t="shared" si="92"/>
        <v>95.7010354612703</v>
      </c>
      <c r="BF65" s="30" t="str">
        <f t="shared" si="93"/>
        <v>89,7345287517108+96,6067041489083i</v>
      </c>
      <c r="BG65" s="68">
        <f t="shared" si="94"/>
        <v>42.4017821574572</v>
      </c>
      <c r="BH65" s="31">
        <f t="shared" si="95"/>
        <v>47.1120836985979</v>
      </c>
      <c r="BI65" s="30" t="str">
        <f t="shared" si="103"/>
        <v>401,689129729822+535,609238172745i</v>
      </c>
      <c r="BJ65" s="68">
        <f t="shared" si="97"/>
        <v>56.5150228949653</v>
      </c>
      <c r="BK65" s="31">
        <f t="shared" si="104"/>
        <v>53.1313209357984</v>
      </c>
      <c r="BL65" s="32">
        <f t="shared" si="99"/>
        <v>42.4017821574572</v>
      </c>
      <c r="BM65" s="31">
        <f t="shared" si="100"/>
        <v>47.1120836985979</v>
      </c>
      <c r="BO65">
        <f t="shared" si="101"/>
        <v>0</v>
      </c>
      <c r="BP65">
        <f t="shared" si="102"/>
        <v>0</v>
      </c>
    </row>
    <row r="66" spans="1:68">
      <c r="A66" t="s">
        <v>509</v>
      </c>
      <c r="B66">
        <f>SQRT((2*IOUT*Lm*Fsw*(VOUT-VIN_var)/(VIN_var^2)))</f>
        <v>3.74165738677394</v>
      </c>
      <c r="E66" t="s">
        <v>510</v>
      </c>
      <c r="N66" s="7">
        <v>48</v>
      </c>
      <c r="O66" s="18">
        <f t="shared" si="62"/>
        <v>30.1995172040202</v>
      </c>
      <c r="P66" s="86" t="str">
        <f t="shared" si="50"/>
        <v>163,636363636364</v>
      </c>
      <c r="Q66" s="4" t="str">
        <f t="shared" si="51"/>
        <v>1+1,15919488534824i</v>
      </c>
      <c r="R66" s="4">
        <f t="shared" si="63"/>
        <v>1.53092546592495</v>
      </c>
      <c r="S66" s="4">
        <f t="shared" si="64"/>
        <v>0.858993819696548</v>
      </c>
      <c r="T66" s="4" t="str">
        <f t="shared" si="52"/>
        <v>1+0,0029752668723938i</v>
      </c>
      <c r="U66" s="4">
        <f t="shared" si="65"/>
        <v>1.00000442609669</v>
      </c>
      <c r="V66" s="4">
        <f t="shared" si="66"/>
        <v>0.00297525809320844</v>
      </c>
      <c r="W66" t="str">
        <f t="shared" si="53"/>
        <v>1-0,00284623744170326i</v>
      </c>
      <c r="X66" s="4">
        <f t="shared" si="67"/>
        <v>1.00000405052558</v>
      </c>
      <c r="Y66" s="4">
        <f t="shared" si="68"/>
        <v>-0.00284622975588667</v>
      </c>
      <c r="Z66" t="str">
        <f t="shared" si="54"/>
        <v>0,999999992555014+0,000589577755781389i</v>
      </c>
      <c r="AA66" s="4">
        <f t="shared" si="69"/>
        <v>1.00000016635597</v>
      </c>
      <c r="AB66" s="4">
        <f t="shared" si="70"/>
        <v>0.000589577691858011</v>
      </c>
      <c r="AC66" s="67" t="str">
        <f t="shared" si="71"/>
        <v>69,7819933650364-80,9662930434268i</v>
      </c>
      <c r="AD66" s="68">
        <f t="shared" si="72"/>
        <v>40.5785876345758</v>
      </c>
      <c r="AE66" s="31">
        <f t="shared" si="73"/>
        <v>-49.2431080307061</v>
      </c>
      <c r="AF66" s="32" t="str">
        <f t="shared" si="74"/>
        <v>748,315388573934</v>
      </c>
      <c r="AG66" s="32" t="str">
        <f t="shared" si="55"/>
        <v>1+0,944529165839303i</v>
      </c>
      <c r="AH66" s="32">
        <f t="shared" si="75"/>
        <v>1.37554910676467</v>
      </c>
      <c r="AI66" s="32">
        <f t="shared" si="76"/>
        <v>0.756879282999263</v>
      </c>
      <c r="AJ66" s="32" t="str">
        <f t="shared" si="56"/>
        <v>1+0,0029752668723938i</v>
      </c>
      <c r="AK66" s="32">
        <f t="shared" si="77"/>
        <v>1.00000442609669</v>
      </c>
      <c r="AL66" s="32">
        <f t="shared" si="78"/>
        <v>0.00297525809320844</v>
      </c>
      <c r="AM66" s="32" t="str">
        <f t="shared" si="57"/>
        <v>1-0,000507125968964836i</v>
      </c>
      <c r="AN66" s="32">
        <f t="shared" si="79"/>
        <v>1.00000012858837</v>
      </c>
      <c r="AO66" s="32">
        <f t="shared" si="80"/>
        <v>-0.000507125925491173</v>
      </c>
      <c r="AP66" s="30" t="str">
        <f t="shared" si="81"/>
        <v>396,409810574875-372,573679893598i</v>
      </c>
      <c r="AQ66" s="32">
        <f t="shared" si="82"/>
        <v>54.7122111026767</v>
      </c>
      <c r="AR66" s="31">
        <f t="shared" si="83"/>
        <v>-43.2245749602549</v>
      </c>
      <c r="AS66" t="str">
        <f t="shared" si="58"/>
        <v>-0,0000504684572142411</v>
      </c>
      <c r="AT66" t="str">
        <f t="shared" si="59"/>
        <v>0,0000426366368767147i</v>
      </c>
      <c r="AU66">
        <f t="shared" si="84"/>
        <v>4.26366368767147e-5</v>
      </c>
      <c r="AV66">
        <f t="shared" si="85"/>
        <v>1.5707963267949</v>
      </c>
      <c r="AW66" t="str">
        <f t="shared" si="60"/>
        <v>1+0,00218291760474794i</v>
      </c>
      <c r="AX66">
        <f t="shared" si="86"/>
        <v>1.0000023825618</v>
      </c>
      <c r="AY66">
        <f t="shared" si="87"/>
        <v>0.002182914137463</v>
      </c>
      <c r="AZ66" t="str">
        <f t="shared" si="61"/>
        <v>1+0,104362039529119i</v>
      </c>
      <c r="BA66">
        <f t="shared" si="88"/>
        <v>1.00543096993015</v>
      </c>
      <c r="BB66">
        <f t="shared" si="89"/>
        <v>0.103985612250547</v>
      </c>
      <c r="BC66" s="30" t="str">
        <f t="shared" si="90"/>
        <v>-0,120947580484138+1,18395159133908i</v>
      </c>
      <c r="BD66" s="32">
        <f t="shared" si="91"/>
        <v>1.51176623722684</v>
      </c>
      <c r="BE66" s="31">
        <f t="shared" si="92"/>
        <v>95.8328649449241</v>
      </c>
      <c r="BF66" s="30" t="str">
        <f t="shared" si="93"/>
        <v>87,4202082347301+92,4111793357201i</v>
      </c>
      <c r="BG66" s="68">
        <f t="shared" si="94"/>
        <v>42.0903538718027</v>
      </c>
      <c r="BH66" s="31">
        <f t="shared" si="95"/>
        <v>46.589756914218</v>
      </c>
      <c r="BI66" s="30" t="str">
        <f t="shared" si="103"/>
        <v>393,164393731876+514,391911187749i</v>
      </c>
      <c r="BJ66" s="68">
        <f t="shared" si="97"/>
        <v>56.2239773399035</v>
      </c>
      <c r="BK66" s="31">
        <f t="shared" si="104"/>
        <v>52.6082899846692</v>
      </c>
      <c r="BL66" s="32">
        <f t="shared" si="99"/>
        <v>42.0903538718027</v>
      </c>
      <c r="BM66" s="31">
        <f t="shared" si="100"/>
        <v>46.589756914218</v>
      </c>
      <c r="BO66">
        <f t="shared" si="101"/>
        <v>0</v>
      </c>
      <c r="BP66">
        <f t="shared" si="102"/>
        <v>0</v>
      </c>
    </row>
    <row r="67" spans="1:68">
      <c r="A67" t="s">
        <v>342</v>
      </c>
      <c r="B67">
        <f>(Fsw*Gcomp)/((R_cs*Acs*(VIN_var/Lm))+((R_sl+Rsl_int)*Isl))</f>
        <v>157.496613822803</v>
      </c>
      <c r="C67" t="s">
        <v>244</v>
      </c>
      <c r="E67" t="s">
        <v>511</v>
      </c>
      <c r="N67" s="7">
        <v>49</v>
      </c>
      <c r="O67" s="18">
        <f t="shared" si="62"/>
        <v>30.9029543251359</v>
      </c>
      <c r="P67" s="86" t="str">
        <f t="shared" si="50"/>
        <v>163,636363636364</v>
      </c>
      <c r="Q67" s="4" t="str">
        <f t="shared" si="51"/>
        <v>1+1,18619600286454i</v>
      </c>
      <c r="R67" s="4">
        <f t="shared" si="63"/>
        <v>1.55147057890629</v>
      </c>
      <c r="S67" s="4">
        <f t="shared" si="64"/>
        <v>0.870362066720077</v>
      </c>
      <c r="T67" s="4" t="str">
        <f t="shared" si="52"/>
        <v>1+0,00304456974068565i</v>
      </c>
      <c r="U67" s="4">
        <f t="shared" si="65"/>
        <v>1.00000463469171</v>
      </c>
      <c r="V67" s="4">
        <f t="shared" si="66"/>
        <v>0.00304456033362141</v>
      </c>
      <c r="W67" t="str">
        <f t="shared" si="53"/>
        <v>1-0,00291253482846204i</v>
      </c>
      <c r="X67" s="4">
        <f t="shared" si="67"/>
        <v>1.00000424142057</v>
      </c>
      <c r="Y67" s="4">
        <f t="shared" si="68"/>
        <v>-0.00291252659296307</v>
      </c>
      <c r="Z67" t="str">
        <f t="shared" si="54"/>
        <v>0,999999992204142+0,000603310785895708i</v>
      </c>
      <c r="AA67" s="4">
        <f t="shared" si="69"/>
        <v>1.00000017419608</v>
      </c>
      <c r="AB67" s="4">
        <f t="shared" si="70"/>
        <v>0.000603310717400576</v>
      </c>
      <c r="AC67" s="67" t="str">
        <f t="shared" si="71"/>
        <v>67,944391275567-80,672484067103i</v>
      </c>
      <c r="AD67" s="68">
        <f t="shared" si="72"/>
        <v>40.4628010962929</v>
      </c>
      <c r="AE67" s="31">
        <f t="shared" si="73"/>
        <v>-49.8950752530932</v>
      </c>
      <c r="AF67" s="32" t="str">
        <f t="shared" si="74"/>
        <v>748,315388573934</v>
      </c>
      <c r="AG67" s="32" t="str">
        <f t="shared" si="55"/>
        <v>1+0,966530076408144i</v>
      </c>
      <c r="AH67" s="32">
        <f t="shared" si="75"/>
        <v>1.39074813988786</v>
      </c>
      <c r="AI67" s="32">
        <f t="shared" si="76"/>
        <v>0.768380019217798</v>
      </c>
      <c r="AJ67" s="32" t="str">
        <f t="shared" si="56"/>
        <v>1+0,00304456974068565i</v>
      </c>
      <c r="AK67" s="32">
        <f t="shared" si="77"/>
        <v>1.00000463469171</v>
      </c>
      <c r="AL67" s="32">
        <f t="shared" si="78"/>
        <v>0.00304456033362141</v>
      </c>
      <c r="AM67" s="32" t="str">
        <f t="shared" si="57"/>
        <v>1-0,000518938450245303i</v>
      </c>
      <c r="AN67" s="32">
        <f t="shared" si="79"/>
        <v>1.00000013464855</v>
      </c>
      <c r="AO67" s="32">
        <f t="shared" si="80"/>
        <v>-0.000518938403662435</v>
      </c>
      <c r="AP67" s="30" t="str">
        <f t="shared" si="81"/>
        <v>387,835223095938-372,964439052187i</v>
      </c>
      <c r="AQ67" s="32">
        <f t="shared" si="82"/>
        <v>54.6167651963401</v>
      </c>
      <c r="AR67" s="31">
        <f t="shared" si="83"/>
        <v>-43.8802246861286</v>
      </c>
      <c r="AS67" t="str">
        <f t="shared" si="58"/>
        <v>-0,0000504684572142411</v>
      </c>
      <c r="AT67" t="str">
        <f t="shared" si="59"/>
        <v>0,0000436297717303613i</v>
      </c>
      <c r="AU67">
        <f t="shared" si="84"/>
        <v>4.36297717303613e-5</v>
      </c>
      <c r="AV67">
        <f t="shared" si="85"/>
        <v>1.5707963267949</v>
      </c>
      <c r="AW67" t="str">
        <f t="shared" si="60"/>
        <v>1+0,00223376428766485i</v>
      </c>
      <c r="AX67">
        <f t="shared" si="86"/>
        <v>1.00000249484833</v>
      </c>
      <c r="AY67">
        <f t="shared" si="87"/>
        <v>0.0022337605724026</v>
      </c>
      <c r="AZ67" t="str">
        <f t="shared" si="61"/>
        <v>1+0,106792943710275i</v>
      </c>
      <c r="BA67">
        <f t="shared" si="88"/>
        <v>1.00568619997806</v>
      </c>
      <c r="BB67">
        <f t="shared" si="89"/>
        <v>0.106389717682225</v>
      </c>
      <c r="BC67" s="30" t="str">
        <f t="shared" si="90"/>
        <v>-0,120947553322638+1,15701372238613i</v>
      </c>
      <c r="BD67" s="32">
        <f t="shared" si="91"/>
        <v>1.31396990725274</v>
      </c>
      <c r="BE67" s="31">
        <f t="shared" si="92"/>
        <v>95.9676967535384</v>
      </c>
      <c r="BF67" s="30" t="str">
        <f t="shared" si="93"/>
        <v>85,1214631978388+88,3697326333791i</v>
      </c>
      <c r="BG67" s="68">
        <f t="shared" si="94"/>
        <v>41.7767710035457</v>
      </c>
      <c r="BH67" s="31">
        <f t="shared" si="95"/>
        <v>46.0726215004453</v>
      </c>
      <c r="BI67" s="30" t="str">
        <f t="shared" si="103"/>
        <v>384,617252619633+493,839811526399i</v>
      </c>
      <c r="BJ67" s="68">
        <f t="shared" si="97"/>
        <v>55.9307351035929</v>
      </c>
      <c r="BK67" s="31">
        <f t="shared" si="104"/>
        <v>52.0874720674098</v>
      </c>
      <c r="BL67" s="32">
        <f t="shared" si="99"/>
        <v>41.7767710035457</v>
      </c>
      <c r="BM67" s="31">
        <f t="shared" si="100"/>
        <v>46.0726215004453</v>
      </c>
      <c r="BO67">
        <f t="shared" si="101"/>
        <v>0</v>
      </c>
      <c r="BP67">
        <f t="shared" si="102"/>
        <v>0</v>
      </c>
    </row>
    <row r="68" spans="1:68">
      <c r="A68" t="s">
        <v>344</v>
      </c>
      <c r="B68">
        <f>(B67*2*VOUT/DC_VIN_var_DCM)*(((VOUT/VIN_var)-1)/((2*VOUT/VIN_var)-1))</f>
        <v>748.315388573934</v>
      </c>
      <c r="C68" t="s">
        <v>244</v>
      </c>
      <c r="N68" s="7">
        <v>50</v>
      </c>
      <c r="O68" s="18">
        <f t="shared" si="62"/>
        <v>31.6227766016838</v>
      </c>
      <c r="P68" s="86" t="str">
        <f t="shared" si="50"/>
        <v>163,636363636364</v>
      </c>
      <c r="Q68" s="4" t="str">
        <f t="shared" si="51"/>
        <v>1+1,21382605720272i</v>
      </c>
      <c r="R68" s="4">
        <f t="shared" si="63"/>
        <v>1.57269631434181</v>
      </c>
      <c r="S68" s="4">
        <f t="shared" si="64"/>
        <v>0.881686138346064</v>
      </c>
      <c r="T68" s="4" t="str">
        <f t="shared" si="52"/>
        <v>1+0,00311548688015366i</v>
      </c>
      <c r="U68" s="4">
        <f t="shared" si="65"/>
        <v>1.00000485311747</v>
      </c>
      <c r="V68" s="4">
        <f t="shared" si="66"/>
        <v>0.00311547680030536</v>
      </c>
      <c r="W68" t="str">
        <f t="shared" si="53"/>
        <v>1-0,00298037647973883i</v>
      </c>
      <c r="X68" s="4">
        <f t="shared" si="67"/>
        <v>1.00000444131212</v>
      </c>
      <c r="Y68" s="4">
        <f t="shared" si="68"/>
        <v>-0.00298036765524481</v>
      </c>
      <c r="Z68" t="str">
        <f t="shared" si="54"/>
        <v>0,999999991836735+0,000617363699374472i</v>
      </c>
      <c r="AA68" s="4">
        <f t="shared" si="69"/>
        <v>1.00000018240569</v>
      </c>
      <c r="AB68" s="4">
        <f t="shared" si="70"/>
        <v>0.000617363625980616</v>
      </c>
      <c r="AC68" s="67" t="str">
        <f t="shared" si="71"/>
        <v>66,1210421502792-80,3383589770256i</v>
      </c>
      <c r="AD68" s="68">
        <f t="shared" si="72"/>
        <v>40.3447781646097</v>
      </c>
      <c r="AE68" s="31">
        <f t="shared" si="73"/>
        <v>-50.5445257288251</v>
      </c>
      <c r="AF68" s="32" t="str">
        <f t="shared" si="74"/>
        <v>748,315388573934</v>
      </c>
      <c r="AG68" s="32" t="str">
        <f t="shared" si="55"/>
        <v>1+0,989043454017035i</v>
      </c>
      <c r="AH68" s="32">
        <f t="shared" si="75"/>
        <v>1.40648745246232</v>
      </c>
      <c r="AI68" s="32">
        <f t="shared" si="76"/>
        <v>0.779889769327612</v>
      </c>
      <c r="AJ68" s="32" t="str">
        <f t="shared" si="56"/>
        <v>1+0,00311548688015366i</v>
      </c>
      <c r="AK68" s="32">
        <f t="shared" si="77"/>
        <v>1.00000485311747</v>
      </c>
      <c r="AL68" s="32">
        <f t="shared" si="78"/>
        <v>0.00311547680030536</v>
      </c>
      <c r="AM68" s="32" t="str">
        <f t="shared" si="57"/>
        <v>1-0,000531026079561053i</v>
      </c>
      <c r="AN68" s="32">
        <f t="shared" si="79"/>
        <v>1.00000014099434</v>
      </c>
      <c r="AO68" s="32">
        <f t="shared" si="80"/>
        <v>-0.000531026029646611</v>
      </c>
      <c r="AP68" s="30" t="str">
        <f t="shared" si="81"/>
        <v>379,247189995387-373,157958931043i</v>
      </c>
      <c r="AQ68" s="32">
        <f t="shared" si="82"/>
        <v>54.5190196617203</v>
      </c>
      <c r="AR68" s="31">
        <f t="shared" si="83"/>
        <v>-44.5363141463854</v>
      </c>
      <c r="AS68" t="str">
        <f t="shared" si="58"/>
        <v>-0,0000504684572142411</v>
      </c>
      <c r="AT68" t="str">
        <f t="shared" si="59"/>
        <v>0,0000446460396664877i</v>
      </c>
      <c r="AU68">
        <f t="shared" si="84"/>
        <v>4.46460396664877e-5</v>
      </c>
      <c r="AV68">
        <f t="shared" si="85"/>
        <v>1.5707963267949</v>
      </c>
      <c r="AW68" t="str">
        <f t="shared" si="60"/>
        <v>1+0,00228579534197445i</v>
      </c>
      <c r="AX68">
        <f t="shared" si="86"/>
        <v>1.00000261242676</v>
      </c>
      <c r="AY68">
        <f t="shared" si="87"/>
        <v>0.00228579136099978</v>
      </c>
      <c r="AZ68" t="str">
        <f t="shared" si="61"/>
        <v>1+0,109280470923757i</v>
      </c>
      <c r="BA68">
        <f t="shared" si="88"/>
        <v>1.00595338924093</v>
      </c>
      <c r="BB68">
        <f t="shared" si="89"/>
        <v>0.108848544432303</v>
      </c>
      <c r="BC68" s="30" t="str">
        <f t="shared" si="90"/>
        <v>-0,120947524881068+1,13068931741796i</v>
      </c>
      <c r="BD68" s="32">
        <f t="shared" si="91"/>
        <v>1.11627623415314</v>
      </c>
      <c r="BE68" s="31">
        <f t="shared" si="92"/>
        <v>96.1055960042804</v>
      </c>
      <c r="BF68" s="30" t="str">
        <f t="shared" si="93"/>
        <v>82,8405478835791+84,4790816871413i</v>
      </c>
      <c r="BG68" s="68">
        <f t="shared" si="94"/>
        <v>41.4610543987629</v>
      </c>
      <c r="BH68" s="31">
        <f t="shared" si="95"/>
        <v>45.5610702754554</v>
      </c>
      <c r="BI68" s="30" t="str">
        <f t="shared" si="103"/>
        <v>376,056708924778+473,943277910944i</v>
      </c>
      <c r="BJ68" s="68">
        <f t="shared" si="97"/>
        <v>55.6352958958734</v>
      </c>
      <c r="BK68" s="31">
        <f t="shared" si="104"/>
        <v>51.569281857895</v>
      </c>
      <c r="BL68" s="32">
        <f t="shared" si="99"/>
        <v>41.4610543987629</v>
      </c>
      <c r="BM68" s="31">
        <f t="shared" si="100"/>
        <v>45.5610702754554</v>
      </c>
      <c r="BO68">
        <f t="shared" si="101"/>
        <v>0</v>
      </c>
      <c r="BP68">
        <f t="shared" si="102"/>
        <v>0</v>
      </c>
    </row>
    <row r="69" spans="1:68">
      <c r="A69" t="s">
        <v>512</v>
      </c>
      <c r="B69">
        <f>(IOUT_VAR*((2*VOUT)-VIN_var))/(Cout*VOUT*(VOUT-VIN_var))</f>
        <v>200.892857142857</v>
      </c>
      <c r="C69" t="s">
        <v>304</v>
      </c>
      <c r="N69" s="7">
        <v>51</v>
      </c>
      <c r="O69" s="18">
        <f t="shared" si="62"/>
        <v>32.3593656929628</v>
      </c>
      <c r="P69" s="86" t="str">
        <f t="shared" si="50"/>
        <v>163,636363636364</v>
      </c>
      <c r="Q69" s="4" t="str">
        <f t="shared" si="51"/>
        <v>1+1,24209969818332i</v>
      </c>
      <c r="R69" s="4">
        <f t="shared" si="63"/>
        <v>1.59461959734198</v>
      </c>
      <c r="S69" s="4">
        <f t="shared" si="64"/>
        <v>0.892960422420934</v>
      </c>
      <c r="T69" s="4" t="str">
        <f t="shared" si="52"/>
        <v>1+0,00318805589200387i</v>
      </c>
      <c r="U69" s="4">
        <f t="shared" si="65"/>
        <v>1.00000508183727</v>
      </c>
      <c r="V69" s="4">
        <f t="shared" si="66"/>
        <v>0.00318804509125479</v>
      </c>
      <c r="W69" t="str">
        <f t="shared" si="53"/>
        <v>1-0,00304979836607513i</v>
      </c>
      <c r="X69" s="4">
        <f t="shared" si="67"/>
        <v>1.00000465062422</v>
      </c>
      <c r="Y69" s="4">
        <f t="shared" si="68"/>
        <v>-0.00304978891046181</v>
      </c>
      <c r="Z69" t="str">
        <f t="shared" si="54"/>
        <v>0,999999991452012+0,000631743947258419i</v>
      </c>
      <c r="AA69" s="4">
        <f t="shared" si="69"/>
        <v>1.0000001910022</v>
      </c>
      <c r="AB69" s="4">
        <f t="shared" si="70"/>
        <v>0.000631743868615486</v>
      </c>
      <c r="AC69" s="67" t="str">
        <f t="shared" si="71"/>
        <v>64,3136902174786-79,9647685061417i</v>
      </c>
      <c r="AD69" s="68">
        <f t="shared" si="72"/>
        <v>40.2245373322743</v>
      </c>
      <c r="AE69" s="31">
        <f t="shared" si="73"/>
        <v>-51.1911382386927</v>
      </c>
      <c r="AF69" s="32" t="str">
        <f t="shared" si="74"/>
        <v>748,315388573934</v>
      </c>
      <c r="AG69" s="32" t="str">
        <f t="shared" si="55"/>
        <v>1+1,01208123555678i</v>
      </c>
      <c r="AH69" s="32">
        <f t="shared" si="75"/>
        <v>1.42278193247108</v>
      </c>
      <c r="AI69" s="32">
        <f t="shared" si="76"/>
        <v>0.791402439050646</v>
      </c>
      <c r="AJ69" s="32" t="str">
        <f t="shared" si="56"/>
        <v>1+0,00318805589200387i</v>
      </c>
      <c r="AK69" s="32">
        <f t="shared" si="77"/>
        <v>1.00000508183727</v>
      </c>
      <c r="AL69" s="32">
        <f t="shared" si="78"/>
        <v>0.00318804509125479</v>
      </c>
      <c r="AM69" s="32" t="str">
        <f t="shared" si="57"/>
        <v>1-0,000543395265933147i</v>
      </c>
      <c r="AN69" s="32">
        <f t="shared" si="79"/>
        <v>1.0000001476392</v>
      </c>
      <c r="AO69" s="32">
        <f t="shared" si="80"/>
        <v>-0.000543395212448859</v>
      </c>
      <c r="AP69" s="30" t="str">
        <f t="shared" si="81"/>
        <v>370,654799579172-373,153727279095i</v>
      </c>
      <c r="AQ69" s="32">
        <f t="shared" si="82"/>
        <v>54.4189721168101</v>
      </c>
      <c r="AR69" s="31">
        <f t="shared" si="83"/>
        <v>-45.1924923776161</v>
      </c>
      <c r="AS69" t="str">
        <f t="shared" si="58"/>
        <v>-0,0000504684572142411</v>
      </c>
      <c r="AT69" t="str">
        <f t="shared" si="59"/>
        <v>0,0000456859795238054i</v>
      </c>
      <c r="AU69">
        <f t="shared" si="84"/>
        <v>4.56859795238054e-5</v>
      </c>
      <c r="AV69">
        <f t="shared" si="85"/>
        <v>1.5707963267949</v>
      </c>
      <c r="AW69" t="str">
        <f t="shared" si="60"/>
        <v>1+0,00233903835523044i</v>
      </c>
      <c r="AX69">
        <f t="shared" si="86"/>
        <v>1.00000273554647</v>
      </c>
      <c r="AY69">
        <f t="shared" si="87"/>
        <v>0.00233903408953986</v>
      </c>
      <c r="AZ69" t="str">
        <f t="shared" si="61"/>
        <v>1+0,111825940089421i</v>
      </c>
      <c r="BA69">
        <f t="shared" si="88"/>
        <v>1.00623309470365</v>
      </c>
      <c r="BB69">
        <f t="shared" si="89"/>
        <v>0.11136327721338</v>
      </c>
      <c r="BC69" s="30" t="str">
        <f t="shared" si="90"/>
        <v>-0,120947495099102+1,10496441888619i</v>
      </c>
      <c r="BD69" s="32">
        <f t="shared" si="91"/>
        <v>0.918689941727282</v>
      </c>
      <c r="BE69" s="31">
        <f t="shared" si="92"/>
        <v>96.2466289956042</v>
      </c>
      <c r="BF69" s="30" t="str">
        <f t="shared" si="93"/>
        <v>80,5796442313739+80,7358777845801i</v>
      </c>
      <c r="BG69" s="68">
        <f t="shared" si="94"/>
        <v>41.1432272740016</v>
      </c>
      <c r="BH69" s="31">
        <f t="shared" si="95"/>
        <v>45.0554907569116</v>
      </c>
      <c r="BI69" s="30" t="str">
        <f t="shared" si="103"/>
        <v>367,4918218626+454,692373825677i</v>
      </c>
      <c r="BJ69" s="68">
        <f t="shared" si="97"/>
        <v>55.3376620585374</v>
      </c>
      <c r="BK69" s="31">
        <f t="shared" si="104"/>
        <v>51.0541366179882</v>
      </c>
      <c r="BL69" s="32">
        <f t="shared" si="99"/>
        <v>41.1432272740016</v>
      </c>
      <c r="BM69" s="31">
        <f t="shared" si="100"/>
        <v>45.0554907569116</v>
      </c>
      <c r="BO69">
        <f t="shared" si="101"/>
        <v>0</v>
      </c>
      <c r="BP69">
        <f t="shared" si="102"/>
        <v>0</v>
      </c>
    </row>
    <row r="70" spans="1:68">
      <c r="B70">
        <f>B69/(2*PI())</f>
        <v>31.9730912461397</v>
      </c>
      <c r="C70" t="s">
        <v>111</v>
      </c>
      <c r="N70" s="7">
        <v>52</v>
      </c>
      <c r="O70" s="18">
        <f t="shared" si="62"/>
        <v>33.1131121482591</v>
      </c>
      <c r="P70" s="86" t="str">
        <f t="shared" si="50"/>
        <v>163,636363636364</v>
      </c>
      <c r="Q70" s="4" t="str">
        <f t="shared" si="51"/>
        <v>1+1,27103191686503i</v>
      </c>
      <c r="R70" s="4">
        <f t="shared" si="63"/>
        <v>1.61725759657811</v>
      </c>
      <c r="S70" s="4">
        <f t="shared" si="64"/>
        <v>0.904179432873422</v>
      </c>
      <c r="T70" s="4" t="str">
        <f t="shared" si="52"/>
        <v>1+0,00326231525328692i</v>
      </c>
      <c r="U70" s="4">
        <f t="shared" si="65"/>
        <v>1.00000532133625</v>
      </c>
      <c r="V70" s="4">
        <f t="shared" si="66"/>
        <v>0.00326230368007909</v>
      </c>
      <c r="W70" t="str">
        <f t="shared" si="53"/>
        <v>1-0,00312083729587397i</v>
      </c>
      <c r="X70" s="4">
        <f t="shared" si="67"/>
        <v>1.00000486980086</v>
      </c>
      <c r="Y70" s="4">
        <f t="shared" si="68"/>
        <v>-0.00312082716400442</v>
      </c>
      <c r="Z70" t="str">
        <f t="shared" si="54"/>
        <v>0,999999991049158+0,000646459154145322i</v>
      </c>
      <c r="AA70" s="4">
        <f t="shared" si="69"/>
        <v>1.00000020000386</v>
      </c>
      <c r="AB70" s="4">
        <f t="shared" si="70"/>
        <v>0.000646459069877902</v>
      </c>
      <c r="AC70" s="67" t="str">
        <f t="shared" si="71"/>
        <v>62,524015648782-79,552653791067i</v>
      </c>
      <c r="AD70" s="68">
        <f t="shared" si="72"/>
        <v>40.1020991848724</v>
      </c>
      <c r="AE70" s="31">
        <f t="shared" si="73"/>
        <v>-51.8345987952401</v>
      </c>
      <c r="AF70" s="32" t="str">
        <f t="shared" si="74"/>
        <v>748,315388573934</v>
      </c>
      <c r="AG70" s="32" t="str">
        <f t="shared" si="55"/>
        <v>1+1,0356556359641i</v>
      </c>
      <c r="AH70" s="32">
        <f t="shared" si="75"/>
        <v>1.43964669148517</v>
      </c>
      <c r="AI70" s="32">
        <f t="shared" si="76"/>
        <v>0.802911926376856</v>
      </c>
      <c r="AJ70" s="32" t="str">
        <f t="shared" si="56"/>
        <v>1+0,00326231525328692i</v>
      </c>
      <c r="AK70" s="32">
        <f t="shared" si="77"/>
        <v>1.00000532133625</v>
      </c>
      <c r="AL70" s="32">
        <f t="shared" si="78"/>
        <v>0.00326230368007909</v>
      </c>
      <c r="AM70" s="32" t="str">
        <f t="shared" si="57"/>
        <v>1-0,000556052567667926i</v>
      </c>
      <c r="AN70" s="32">
        <f t="shared" si="79"/>
        <v>1.00000015459722</v>
      </c>
      <c r="AO70" s="32">
        <f t="shared" si="80"/>
        <v>-0.000556052510358479</v>
      </c>
      <c r="AP70" s="30" t="str">
        <f t="shared" si="81"/>
        <v>362,067158610311-372,951755399104i</v>
      </c>
      <c r="AQ70" s="32">
        <f t="shared" si="82"/>
        <v>54.3166226185036</v>
      </c>
      <c r="AR70" s="31">
        <f t="shared" si="83"/>
        <v>-45.8484079317852</v>
      </c>
      <c r="AS70" t="str">
        <f t="shared" si="58"/>
        <v>-0,0000504684572142411</v>
      </c>
      <c r="AT70" t="str">
        <f t="shared" si="59"/>
        <v>0,0000467501426921921i</v>
      </c>
      <c r="AU70">
        <f t="shared" si="84"/>
        <v>4.67501426921921e-5</v>
      </c>
      <c r="AV70">
        <f t="shared" si="85"/>
        <v>1.5707963267949</v>
      </c>
      <c r="AW70" t="str">
        <f t="shared" si="60"/>
        <v>1+0,00239352155758321i</v>
      </c>
      <c r="AX70">
        <f t="shared" si="86"/>
        <v>1.00000286446862</v>
      </c>
      <c r="AY70">
        <f t="shared" si="87"/>
        <v>0.00239351698681411</v>
      </c>
      <c r="AZ70" t="str">
        <f t="shared" si="61"/>
        <v>1+0,114430700848712i</v>
      </c>
      <c r="BA70">
        <f t="shared" si="88"/>
        <v>1.00652589896968</v>
      </c>
      <c r="BB70">
        <f t="shared" si="89"/>
        <v>0.113935122078032</v>
      </c>
      <c r="BC70" s="30" t="str">
        <f t="shared" si="90"/>
        <v>-0,120947463913571+1,07982538710869i</v>
      </c>
      <c r="BD70" s="32">
        <f t="shared" si="91"/>
        <v>0.721215965580231</v>
      </c>
      <c r="BE70" s="31">
        <f t="shared" si="92"/>
        <v>96.3908632118417</v>
      </c>
      <c r="BF70" s="30" t="str">
        <f t="shared" si="93"/>
        <v>78,3408540490499+77,1367111251597i</v>
      </c>
      <c r="BG70" s="68">
        <f t="shared" si="94"/>
        <v>40.8233151504526</v>
      </c>
      <c r="BH70" s="31">
        <f t="shared" si="95"/>
        <v>44.5562644166016</v>
      </c>
      <c r="BI70" s="30" t="str">
        <f t="shared" si="103"/>
        <v>358,931669046393+436,076878683359i</v>
      </c>
      <c r="BJ70" s="68">
        <f t="shared" si="97"/>
        <v>55.0378385840838</v>
      </c>
      <c r="BK70" s="31">
        <f t="shared" si="104"/>
        <v>50.5424552800565</v>
      </c>
      <c r="BL70" s="32">
        <f t="shared" si="99"/>
        <v>40.8233151504526</v>
      </c>
      <c r="BM70" s="31">
        <f t="shared" si="100"/>
        <v>44.5562644166016</v>
      </c>
      <c r="BO70">
        <f t="shared" si="101"/>
        <v>0</v>
      </c>
      <c r="BP70">
        <f t="shared" si="102"/>
        <v>0</v>
      </c>
    </row>
    <row r="71" spans="1:68">
      <c r="A71" t="s">
        <v>346</v>
      </c>
      <c r="B71">
        <f>1/(Cout*Resr)</f>
        <v>63775.5102040816</v>
      </c>
      <c r="C71" t="s">
        <v>304</v>
      </c>
      <c r="N71" s="7">
        <v>53</v>
      </c>
      <c r="O71" s="18">
        <f t="shared" si="62"/>
        <v>33.8844156139203</v>
      </c>
      <c r="P71" s="86" t="str">
        <f t="shared" si="50"/>
        <v>163,636363636364</v>
      </c>
      <c r="Q71" s="4" t="str">
        <f t="shared" si="51"/>
        <v>1+1,30063805349317i</v>
      </c>
      <c r="R71" s="4">
        <f t="shared" si="63"/>
        <v>1.64062772931415</v>
      </c>
      <c r="S71" s="4">
        <f t="shared" si="64"/>
        <v>0.915337822038922</v>
      </c>
      <c r="T71" s="4" t="str">
        <f t="shared" si="52"/>
        <v>1+0,00333830433729914i</v>
      </c>
      <c r="U71" s="4">
        <f t="shared" si="65"/>
        <v>1.0000055721224</v>
      </c>
      <c r="V71" s="4">
        <f t="shared" si="66"/>
        <v>0.00333829193638726</v>
      </c>
      <c r="W71" t="str">
        <f t="shared" si="53"/>
        <v>1-0,00319353093491627i</v>
      </c>
      <c r="X71" s="4">
        <f t="shared" si="67"/>
        <v>1.00000509930691</v>
      </c>
      <c r="Y71" s="4">
        <f t="shared" si="68"/>
        <v>-0.00319352007842544</v>
      </c>
      <c r="Z71" t="str">
        <f t="shared" si="54"/>
        <v>0,999999990627317+0,000661517122232655i</v>
      </c>
      <c r="AA71" s="4">
        <f t="shared" si="69"/>
        <v>1.00000020942975</v>
      </c>
      <c r="AB71" s="4">
        <f t="shared" si="70"/>
        <v>0.000661517031938489</v>
      </c>
      <c r="AC71" s="67" t="str">
        <f t="shared" si="71"/>
        <v>60,7536288340698-79,1030407314748i</v>
      </c>
      <c r="AD71" s="68">
        <f t="shared" si="72"/>
        <v>39.9774863190294</v>
      </c>
      <c r="AE71" s="31">
        <f t="shared" si="73"/>
        <v>-52.4746013490796</v>
      </c>
      <c r="AF71" s="32" t="str">
        <f t="shared" si="74"/>
        <v>748,315388573934</v>
      </c>
      <c r="AG71" s="32" t="str">
        <f t="shared" si="55"/>
        <v>1+1,05977915469814i</v>
      </c>
      <c r="AH71" s="32">
        <f t="shared" si="75"/>
        <v>1.45709706496606</v>
      </c>
      <c r="AI71" s="32">
        <f t="shared" si="76"/>
        <v>0.814412137723883</v>
      </c>
      <c r="AJ71" s="32" t="str">
        <f t="shared" si="56"/>
        <v>1+0,00333830433729914i</v>
      </c>
      <c r="AK71" s="32">
        <f t="shared" si="77"/>
        <v>1.0000055721224</v>
      </c>
      <c r="AL71" s="32">
        <f t="shared" si="78"/>
        <v>0.00333829193638726</v>
      </c>
      <c r="AM71" s="32" t="str">
        <f t="shared" si="57"/>
        <v>1-0,000569004695834311i</v>
      </c>
      <c r="AN71" s="32">
        <f t="shared" si="79"/>
        <v>1.00000016188316</v>
      </c>
      <c r="AO71" s="32">
        <f t="shared" si="80"/>
        <v>-0.000569004634426133</v>
      </c>
      <c r="AP71" s="30" t="str">
        <f t="shared" si="81"/>
        <v>353,493353734416-372,552578074789i</v>
      </c>
      <c r="AQ71" s="32">
        <f t="shared" si="82"/>
        <v>54.2119736623825</v>
      </c>
      <c r="AR71" s="31">
        <f t="shared" si="83"/>
        <v>-46.5037098011441</v>
      </c>
      <c r="AS71" t="str">
        <f t="shared" si="58"/>
        <v>-0,0000504684572142411</v>
      </c>
      <c r="AT71" t="str">
        <f t="shared" si="59"/>
        <v>0,0000478390934050456i</v>
      </c>
      <c r="AU71">
        <f t="shared" si="84"/>
        <v>4.78390934050456e-5</v>
      </c>
      <c r="AV71">
        <f t="shared" si="85"/>
        <v>1.5707963267949</v>
      </c>
      <c r="AW71" t="str">
        <f t="shared" si="60"/>
        <v>1+0,00244927383674783i</v>
      </c>
      <c r="AX71">
        <f t="shared" si="86"/>
        <v>1.00000299946667</v>
      </c>
      <c r="AY71">
        <f t="shared" si="87"/>
        <v>0.0024492689390813</v>
      </c>
      <c r="AZ71" t="str">
        <f t="shared" si="61"/>
        <v>1+0,117096134280263i</v>
      </c>
      <c r="BA71">
        <f t="shared" si="88"/>
        <v>1.00683241140886</v>
      </c>
      <c r="BB71">
        <f t="shared" si="89"/>
        <v>0.116565306489372</v>
      </c>
      <c r="BC71" s="30" t="str">
        <f t="shared" si="90"/>
        <v>-0,12094743125833+1,05525889303756i</v>
      </c>
      <c r="BD71" s="32">
        <f t="shared" si="91"/>
        <v>0.523859462090194</v>
      </c>
      <c r="BE71" s="31">
        <f t="shared" si="92"/>
        <v>96.5383673263881</v>
      </c>
      <c r="BF71" s="30" t="str">
        <f t="shared" si="93"/>
        <v>76,1261918510984+73,6781166926502i</v>
      </c>
      <c r="BG71" s="68">
        <f t="shared" si="94"/>
        <v>40.5013457811196</v>
      </c>
      <c r="BH71" s="31">
        <f t="shared" si="95"/>
        <v>44.0637659773085</v>
      </c>
      <c r="BI71" s="30" t="str">
        <f t="shared" si="103"/>
        <v>350,385308036421+418,086282484729i</v>
      </c>
      <c r="BJ71" s="68">
        <f t="shared" si="97"/>
        <v>54.7358331244727</v>
      </c>
      <c r="BK71" s="31">
        <f t="shared" si="104"/>
        <v>50.0346575252441</v>
      </c>
      <c r="BL71" s="32">
        <f t="shared" si="99"/>
        <v>40.5013457811196</v>
      </c>
      <c r="BM71" s="31">
        <f t="shared" si="100"/>
        <v>44.0637659773085</v>
      </c>
      <c r="BO71">
        <f t="shared" si="101"/>
        <v>0</v>
      </c>
      <c r="BP71">
        <f t="shared" si="102"/>
        <v>0</v>
      </c>
    </row>
    <row r="72" spans="1:68">
      <c r="B72">
        <f>B71/(2*PI())</f>
        <v>10150.1876971872</v>
      </c>
      <c r="C72" t="s">
        <v>111</v>
      </c>
      <c r="N72" s="7">
        <v>54</v>
      </c>
      <c r="O72" s="18">
        <f t="shared" si="62"/>
        <v>34.6736850452532</v>
      </c>
      <c r="P72" s="86" t="str">
        <f t="shared" si="50"/>
        <v>163,636363636364</v>
      </c>
      <c r="Q72" s="4" t="str">
        <f t="shared" si="51"/>
        <v>1+1,33093380563324i</v>
      </c>
      <c r="R72" s="4">
        <f t="shared" si="63"/>
        <v>1.6647476670587</v>
      </c>
      <c r="S72" s="4">
        <f t="shared" si="64"/>
        <v>0.92643039216163</v>
      </c>
      <c r="T72" s="4" t="str">
        <f t="shared" si="52"/>
        <v>1+0,00341606343445864i</v>
      </c>
      <c r="U72" s="4">
        <f t="shared" si="65"/>
        <v>1.00000583472767</v>
      </c>
      <c r="V72" s="4">
        <f t="shared" si="66"/>
        <v>0.00341605014664634</v>
      </c>
      <c r="W72" t="str">
        <f t="shared" si="53"/>
        <v>1-0,00326791782633161i</v>
      </c>
      <c r="X72" s="4">
        <f t="shared" si="67"/>
        <v>1.0000053396292</v>
      </c>
      <c r="Y72" s="4">
        <f t="shared" si="68"/>
        <v>-0.00326790619339545</v>
      </c>
      <c r="Z72" t="str">
        <f t="shared" si="54"/>
        <v>0,999999990185596+0,000676925835454404i</v>
      </c>
      <c r="AA72" s="4">
        <f t="shared" si="69"/>
        <v>1.00000021929987</v>
      </c>
      <c r="AB72" s="4">
        <f t="shared" si="70"/>
        <v>0.000676925738702463</v>
      </c>
      <c r="AC72" s="67" t="str">
        <f t="shared" si="71"/>
        <v>59,0040652255176-78,6170339508468i</v>
      </c>
      <c r="AD72" s="68">
        <f t="shared" si="72"/>
        <v>39.8507232539637</v>
      </c>
      <c r="AE72" s="31">
        <f t="shared" si="73"/>
        <v>-53.1108484481008</v>
      </c>
      <c r="AF72" s="32" t="str">
        <f t="shared" si="74"/>
        <v>748,315388573934</v>
      </c>
      <c r="AG72" s="32" t="str">
        <f t="shared" si="55"/>
        <v>1+1,08446458236782i</v>
      </c>
      <c r="AH72" s="32">
        <f t="shared" si="75"/>
        <v>1.47514861299132</v>
      </c>
      <c r="AI72" s="32">
        <f t="shared" si="76"/>
        <v>0.825897004042337</v>
      </c>
      <c r="AJ72" s="32" t="str">
        <f t="shared" si="56"/>
        <v>1+0,00341606343445864i</v>
      </c>
      <c r="AK72" s="32">
        <f t="shared" si="77"/>
        <v>1.00000583472767</v>
      </c>
      <c r="AL72" s="32">
        <f t="shared" si="78"/>
        <v>0.00341605014664634</v>
      </c>
      <c r="AM72" s="32" t="str">
        <f t="shared" si="57"/>
        <v>1-0,00058225851782209i</v>
      </c>
      <c r="AN72" s="32">
        <f t="shared" si="79"/>
        <v>1.00000016951248</v>
      </c>
      <c r="AO72" s="32">
        <f t="shared" si="80"/>
        <v>-0.000582258452022042</v>
      </c>
      <c r="AP72" s="30" t="str">
        <f t="shared" si="81"/>
        <v>344,942413086066-371,957250120993i</v>
      </c>
      <c r="AQ72" s="32">
        <f t="shared" si="82"/>
        <v>54.1050301721834</v>
      </c>
      <c r="AR72" s="31">
        <f t="shared" si="83"/>
        <v>-47.1580483400038</v>
      </c>
      <c r="AS72" t="str">
        <f t="shared" si="58"/>
        <v>-0,0000504684572142411</v>
      </c>
      <c r="AT72" t="str">
        <f t="shared" si="59"/>
        <v>0,0000489534090384476i</v>
      </c>
      <c r="AU72">
        <f t="shared" si="84"/>
        <v>4.89534090384476e-5</v>
      </c>
      <c r="AV72">
        <f t="shared" si="85"/>
        <v>1.5707963267949</v>
      </c>
      <c r="AW72" t="str">
        <f t="shared" si="60"/>
        <v>1+0,00250632475332064i</v>
      </c>
      <c r="AX72">
        <f t="shared" si="86"/>
        <v>1.00000314082695</v>
      </c>
      <c r="AY72">
        <f t="shared" si="87"/>
        <v>0.00250631950537729</v>
      </c>
      <c r="AZ72" t="str">
        <f t="shared" si="61"/>
        <v>1+0,119823653632159i</v>
      </c>
      <c r="BA72">
        <f t="shared" si="88"/>
        <v>1.00715326935366</v>
      </c>
      <c r="BB72">
        <f t="shared" si="89"/>
        <v>0.119255079365212</v>
      </c>
      <c r="BC72" s="30" t="str">
        <f t="shared" si="90"/>
        <v>-0,120947397064112+1,03125191119199i</v>
      </c>
      <c r="BD72" s="32">
        <f t="shared" si="91"/>
        <v>0.32662581770636</v>
      </c>
      <c r="BE72" s="31">
        <f t="shared" si="92"/>
        <v>96.6892112033549</v>
      </c>
      <c r="BF72" s="30" t="str">
        <f t="shared" si="93"/>
        <v>73,9375784088289+70,3565806531677i</v>
      </c>
      <c r="BG72" s="68">
        <f t="shared" si="94"/>
        <v>40.1773490716701</v>
      </c>
      <c r="BH72" s="31">
        <f t="shared" si="95"/>
        <v>43.578362755254</v>
      </c>
      <c r="BI72" s="30" t="str">
        <f t="shared" si="103"/>
        <v>341,861738069218+400,709783967441i</v>
      </c>
      <c r="BJ72" s="68">
        <f t="shared" si="97"/>
        <v>54.4316559898898</v>
      </c>
      <c r="BK72" s="31">
        <f t="shared" si="104"/>
        <v>49.5311628633511</v>
      </c>
      <c r="BL72" s="32">
        <f t="shared" si="99"/>
        <v>40.1773490716701</v>
      </c>
      <c r="BM72" s="31">
        <f t="shared" si="100"/>
        <v>43.578362755254</v>
      </c>
      <c r="BO72">
        <f t="shared" si="101"/>
        <v>0</v>
      </c>
      <c r="BP72">
        <f t="shared" si="102"/>
        <v>0</v>
      </c>
    </row>
    <row r="73" spans="1:68">
      <c r="A73" t="s">
        <v>347</v>
      </c>
      <c r="B73">
        <f>2*Fsw/(DC_VIN_var_DCM)</f>
        <v>374165.738677394</v>
      </c>
      <c r="C73" t="s">
        <v>304</v>
      </c>
      <c r="N73" s="7">
        <v>55</v>
      </c>
      <c r="O73" s="18">
        <f t="shared" si="62"/>
        <v>35.4813389233576</v>
      </c>
      <c r="P73" s="86" t="str">
        <f t="shared" si="50"/>
        <v>163,636363636364</v>
      </c>
      <c r="Q73" s="4" t="str">
        <f t="shared" si="51"/>
        <v>1+1,36193523649405i</v>
      </c>
      <c r="R73" s="4">
        <f t="shared" si="63"/>
        <v>1.68963534184276</v>
      </c>
      <c r="S73" s="4">
        <f t="shared" si="64"/>
        <v>0.937452106022958</v>
      </c>
      <c r="T73" s="4" t="str">
        <f t="shared" si="52"/>
        <v>1+0,00349563377366807i</v>
      </c>
      <c r="U73" s="4">
        <f t="shared" si="65"/>
        <v>1.00000610970908</v>
      </c>
      <c r="V73" s="4">
        <f t="shared" si="66"/>
        <v>0.00349561953552537</v>
      </c>
      <c r="W73" t="str">
        <f t="shared" si="53"/>
        <v>1-0,0033440374110345i</v>
      </c>
      <c r="X73" s="4">
        <f t="shared" si="67"/>
        <v>1.00000559127747</v>
      </c>
      <c r="Y73" s="4">
        <f t="shared" si="68"/>
        <v>-0.00334402494612259</v>
      </c>
      <c r="Z73" t="str">
        <f t="shared" si="54"/>
        <v>0,999999989723058+0,000692693463714289i</v>
      </c>
      <c r="AA73" s="4">
        <f t="shared" si="69"/>
        <v>1.00000022963515</v>
      </c>
      <c r="AB73" s="4">
        <f t="shared" si="70"/>
        <v>0.000692693360042718</v>
      </c>
      <c r="AC73" s="67" t="str">
        <f t="shared" si="71"/>
        <v>57,2767807790718-78,0958104225533i</v>
      </c>
      <c r="AD73" s="68">
        <f t="shared" si="72"/>
        <v>39.7218363371032</v>
      </c>
      <c r="AE73" s="31">
        <f t="shared" si="73"/>
        <v>-53.7430518466234</v>
      </c>
      <c r="AF73" s="32" t="str">
        <f t="shared" si="74"/>
        <v>748,315388573934</v>
      </c>
      <c r="AG73" s="32" t="str">
        <f t="shared" si="55"/>
        <v>1+1,10972500751367i</v>
      </c>
      <c r="AH73" s="32">
        <f t="shared" si="75"/>
        <v>1.49381712143797</v>
      </c>
      <c r="AI73" s="32">
        <f t="shared" si="76"/>
        <v>0.837360496763077</v>
      </c>
      <c r="AJ73" s="32" t="str">
        <f t="shared" si="56"/>
        <v>1+0,00349563377366807i</v>
      </c>
      <c r="AK73" s="32">
        <f t="shared" si="77"/>
        <v>1.00000610970908</v>
      </c>
      <c r="AL73" s="32">
        <f t="shared" si="78"/>
        <v>0.00349561953552537</v>
      </c>
      <c r="AM73" s="32" t="str">
        <f t="shared" si="57"/>
        <v>1-0,000595821060983126i</v>
      </c>
      <c r="AN73" s="32">
        <f t="shared" si="79"/>
        <v>1.00000017750135</v>
      </c>
      <c r="AO73" s="32">
        <f t="shared" si="80"/>
        <v>-0.000595820990477105</v>
      </c>
      <c r="AP73" s="30" t="str">
        <f t="shared" si="81"/>
        <v>336,423268419963-371,167339598232i</v>
      </c>
      <c r="AQ73" s="32">
        <f t="shared" si="82"/>
        <v>53.9957994790388</v>
      </c>
      <c r="AR73" s="31">
        <f t="shared" si="83"/>
        <v>-47.8110761774329</v>
      </c>
      <c r="AS73" t="str">
        <f t="shared" si="58"/>
        <v>-0,0000504684572142411</v>
      </c>
      <c r="AT73" t="str">
        <f t="shared" si="59"/>
        <v>0,0000500936804172967i</v>
      </c>
      <c r="AU73">
        <f t="shared" si="84"/>
        <v>5.00936804172967e-5</v>
      </c>
      <c r="AV73">
        <f t="shared" si="85"/>
        <v>1.5707963267949</v>
      </c>
      <c r="AW73" t="str">
        <f t="shared" si="60"/>
        <v>1+0,00256470455645281i</v>
      </c>
      <c r="AX73">
        <f t="shared" si="86"/>
        <v>1.00000328884932</v>
      </c>
      <c r="AY73">
        <f t="shared" si="87"/>
        <v>0.00256469893318119</v>
      </c>
      <c r="AZ73" t="str">
        <f t="shared" si="61"/>
        <v>1+0,122614705071265i</v>
      </c>
      <c r="BA73">
        <f t="shared" si="88"/>
        <v>1.00748913934579</v>
      </c>
      <c r="BB73">
        <f t="shared" si="89"/>
        <v>0.1220057110935</v>
      </c>
      <c r="BC73" s="30" t="str">
        <f t="shared" si="90"/>
        <v>-0,120947361258392+1,00779171275189i</v>
      </c>
      <c r="BD73" s="32">
        <f t="shared" si="91"/>
        <v>0.129520658581453</v>
      </c>
      <c r="BE73" s="31">
        <f t="shared" si="92"/>
        <v>96.843465897557</v>
      </c>
      <c r="BF73" s="30" t="str">
        <f t="shared" si="93"/>
        <v>71,7768350478878+67,1685471981988i</v>
      </c>
      <c r="BG73" s="68">
        <f t="shared" si="94"/>
        <v>39.8513569956846</v>
      </c>
      <c r="BH73" s="31">
        <f t="shared" si="95"/>
        <v>43.1004140509336</v>
      </c>
      <c r="BI73" s="30" t="str">
        <f t="shared" si="103"/>
        <v>333,369862309946+383,936292200247i</v>
      </c>
      <c r="BJ73" s="68">
        <f t="shared" si="97"/>
        <v>54.1253201376203</v>
      </c>
      <c r="BK73" s="31">
        <f t="shared" si="104"/>
        <v>49.0323897201242</v>
      </c>
      <c r="BL73" s="32">
        <f t="shared" si="99"/>
        <v>39.8513569956846</v>
      </c>
      <c r="BM73" s="31">
        <f t="shared" si="100"/>
        <v>43.1004140509336</v>
      </c>
      <c r="BO73">
        <f t="shared" si="101"/>
        <v>0</v>
      </c>
      <c r="BP73">
        <f t="shared" si="102"/>
        <v>0</v>
      </c>
    </row>
    <row r="74" spans="1:68">
      <c r="B74">
        <f>B73/(2*PI())</f>
        <v>59550.3268461376</v>
      </c>
      <c r="C74" t="s">
        <v>111</v>
      </c>
      <c r="N74" s="7">
        <v>56</v>
      </c>
      <c r="O74" s="18">
        <f t="shared" si="62"/>
        <v>36.3078054770102</v>
      </c>
      <c r="P74" s="86" t="str">
        <f t="shared" si="50"/>
        <v>163,636363636364</v>
      </c>
      <c r="Q74" s="4" t="str">
        <f t="shared" si="51"/>
        <v>1+1,39365878344459i</v>
      </c>
      <c r="R74" s="4">
        <f t="shared" si="63"/>
        <v>1.71530895312543</v>
      </c>
      <c r="S74" s="4">
        <f t="shared" si="64"/>
        <v>0.948398096653662</v>
      </c>
      <c r="T74" s="4" t="str">
        <f t="shared" si="52"/>
        <v>1+0,00357705754417445i</v>
      </c>
      <c r="U74" s="4">
        <f t="shared" si="65"/>
        <v>1.00000639764987</v>
      </c>
      <c r="V74" s="4">
        <f t="shared" si="66"/>
        <v>0.00357704228773495</v>
      </c>
      <c r="W74" t="str">
        <f t="shared" si="53"/>
        <v>1-0,00342193004863628i</v>
      </c>
      <c r="X74" s="4">
        <f t="shared" si="67"/>
        <v>1.00000585478549</v>
      </c>
      <c r="Y74" s="4">
        <f t="shared" si="68"/>
        <v>-0.00342191669224676</v>
      </c>
      <c r="Z74" t="str">
        <f t="shared" si="54"/>
        <v>0,99999998923872+0,000708828367217514i</v>
      </c>
      <c r="AA74" s="4">
        <f t="shared" si="69"/>
        <v>1.00000024045752</v>
      </c>
      <c r="AB74" s="4">
        <f t="shared" si="70"/>
        <v>0.000708828256131426</v>
      </c>
      <c r="AC74" s="67" t="str">
        <f t="shared" si="71"/>
        <v>55,5731480138865-77,5406128268721i</v>
      </c>
      <c r="AD74" s="68">
        <f t="shared" si="72"/>
        <v>39.5908536445099</v>
      </c>
      <c r="AE74" s="31">
        <f t="shared" si="73"/>
        <v>-54.3709330620552</v>
      </c>
      <c r="AF74" s="32" t="str">
        <f t="shared" si="74"/>
        <v>748,315388573934</v>
      </c>
      <c r="AG74" s="32" t="str">
        <f t="shared" si="55"/>
        <v>1+1,13557382354745i</v>
      </c>
      <c r="AH74" s="32">
        <f t="shared" si="75"/>
        <v>1.51311860365477</v>
      </c>
      <c r="AI74" s="32">
        <f t="shared" si="76"/>
        <v>0.848796643484618</v>
      </c>
      <c r="AJ74" s="32" t="str">
        <f t="shared" si="56"/>
        <v>1+0,00357705754417445i</v>
      </c>
      <c r="AK74" s="32">
        <f t="shared" si="77"/>
        <v>1.00000639764987</v>
      </c>
      <c r="AL74" s="32">
        <f t="shared" si="78"/>
        <v>0.00357704228773495</v>
      </c>
      <c r="AM74" s="32" t="str">
        <f t="shared" si="57"/>
        <v>1-0,000609699516357316i</v>
      </c>
      <c r="AN74" s="32">
        <f t="shared" si="79"/>
        <v>1.00000018586673</v>
      </c>
      <c r="AO74" s="32">
        <f t="shared" si="80"/>
        <v>-0.000609699440808754</v>
      </c>
      <c r="AP74" s="30" t="str">
        <f t="shared" si="81"/>
        <v>327,944718102895-370,184917772671i</v>
      </c>
      <c r="AQ74" s="32">
        <f t="shared" si="82"/>
        <v>53.8842912906801</v>
      </c>
      <c r="AR74" s="31">
        <f t="shared" si="83"/>
        <v>-48.4624491150418</v>
      </c>
      <c r="AS74" t="str">
        <f t="shared" si="58"/>
        <v>-0,0000504684572142411</v>
      </c>
      <c r="AT74" t="str">
        <f t="shared" si="59"/>
        <v>0,0000512605121285714i</v>
      </c>
      <c r="AU74">
        <f t="shared" si="84"/>
        <v>5.12605121285714e-5</v>
      </c>
      <c r="AV74">
        <f t="shared" si="85"/>
        <v>1.5707963267949</v>
      </c>
      <c r="AW74" t="str">
        <f t="shared" si="60"/>
        <v>1+0,00262444419988867i</v>
      </c>
      <c r="AX74">
        <f t="shared" si="86"/>
        <v>1.00000344384775</v>
      </c>
      <c r="AY74">
        <f t="shared" si="87"/>
        <v>0.0026244381744457</v>
      </c>
      <c r="AZ74" t="str">
        <f t="shared" si="61"/>
        <v>1+0,125470768449997i</v>
      </c>
      <c r="BA74">
        <f t="shared" si="88"/>
        <v>1.00784071843493</v>
      </c>
      <c r="BB74">
        <f t="shared" si="89"/>
        <v>0.124818493516557</v>
      </c>
      <c r="BC74" s="30" t="str">
        <f t="shared" si="90"/>
        <v>-0,120947323765222+0,984865858808928i</v>
      </c>
      <c r="BD74" s="32">
        <f t="shared" si="91"/>
        <v>-0.0674501394518675</v>
      </c>
      <c r="BE74" s="31">
        <f t="shared" si="92"/>
        <v>97.001203652691</v>
      </c>
      <c r="BF74" s="30" t="str">
        <f t="shared" si="93"/>
        <v>69,6456787188198+64,1104257499374i</v>
      </c>
      <c r="BG74" s="68">
        <f t="shared" si="94"/>
        <v>39.5234035050581</v>
      </c>
      <c r="BH74" s="31">
        <f t="shared" si="95"/>
        <v>42.6302705906357</v>
      </c>
      <c r="BI74" s="30" t="str">
        <f t="shared" si="103"/>
        <v>324,918450962809+367,754431539113i</v>
      </c>
      <c r="BJ74" s="68">
        <f t="shared" si="97"/>
        <v>53.8168411512282</v>
      </c>
      <c r="BK74" s="31">
        <f t="shared" si="104"/>
        <v>48.5387545376492</v>
      </c>
      <c r="BL74" s="32">
        <f t="shared" si="99"/>
        <v>39.5234035050581</v>
      </c>
      <c r="BM74" s="31">
        <f t="shared" si="100"/>
        <v>42.6302705906357</v>
      </c>
      <c r="BO74">
        <f t="shared" si="101"/>
        <v>0</v>
      </c>
      <c r="BP74">
        <f t="shared" si="102"/>
        <v>0</v>
      </c>
    </row>
    <row r="75" spans="1:68">
      <c r="N75" s="7">
        <v>57</v>
      </c>
      <c r="O75" s="18">
        <f t="shared" si="62"/>
        <v>37.1535229097173</v>
      </c>
      <c r="P75" s="86" t="str">
        <f t="shared" si="50"/>
        <v>163,636363636364</v>
      </c>
      <c r="Q75" s="4" t="str">
        <f t="shared" si="51"/>
        <v>1+1,42612126672937i</v>
      </c>
      <c r="R75" s="4">
        <f t="shared" si="63"/>
        <v>1.74178697532671</v>
      </c>
      <c r="S75" s="4">
        <f t="shared" si="64"/>
        <v>0.959263676096564</v>
      </c>
      <c r="T75" s="4" t="str">
        <f t="shared" si="52"/>
        <v>1+0,00366037791793872i</v>
      </c>
      <c r="U75" s="4">
        <f t="shared" si="65"/>
        <v>1.00000669916081</v>
      </c>
      <c r="V75" s="4">
        <f t="shared" si="66"/>
        <v>0.00366036157037518</v>
      </c>
      <c r="W75" t="str">
        <f t="shared" si="53"/>
        <v>1-0,00350163703884444i</v>
      </c>
      <c r="X75" s="4">
        <f t="shared" si="67"/>
        <v>1.00000613071218</v>
      </c>
      <c r="Y75" s="4">
        <f t="shared" si="68"/>
        <v>-0.00350162272721996</v>
      </c>
      <c r="Z75" t="str">
        <f t="shared" si="54"/>
        <v>0,999999988731557+0,000725339100903491i</v>
      </c>
      <c r="AA75" s="4">
        <f t="shared" si="69"/>
        <v>1.00000025178993</v>
      </c>
      <c r="AB75" s="4">
        <f t="shared" si="70"/>
        <v>0.000725338981872604</v>
      </c>
      <c r="AC75" s="67" t="str">
        <f t="shared" si="71"/>
        <v>53,8944527024017-76,952742705208i</v>
      </c>
      <c r="AD75" s="68">
        <f t="shared" si="72"/>
        <v>39.4578048768755</v>
      </c>
      <c r="AE75" s="31">
        <f t="shared" si="73"/>
        <v>-54.9942238771576</v>
      </c>
      <c r="AF75" s="32" t="str">
        <f t="shared" si="74"/>
        <v>748,315388573934</v>
      </c>
      <c r="AG75" s="32" t="str">
        <f t="shared" si="55"/>
        <v>1+1,16202473585356i</v>
      </c>
      <c r="AH75" s="32">
        <f t="shared" si="75"/>
        <v>1.53306930265254</v>
      </c>
      <c r="AI75" s="32">
        <f t="shared" si="76"/>
        <v>0.860199543302134</v>
      </c>
      <c r="AJ75" s="32" t="str">
        <f t="shared" si="56"/>
        <v>1+0,00366037791793872i</v>
      </c>
      <c r="AK75" s="32">
        <f t="shared" si="77"/>
        <v>1.00000669916081</v>
      </c>
      <c r="AL75" s="32">
        <f t="shared" si="78"/>
        <v>0.00366036157037518</v>
      </c>
      <c r="AM75" s="32" t="str">
        <f t="shared" si="57"/>
        <v>1-0,000623901242485406i</v>
      </c>
      <c r="AN75" s="32">
        <f t="shared" si="79"/>
        <v>1.00000019462636</v>
      </c>
      <c r="AO75" s="32">
        <f t="shared" si="80"/>
        <v>-0.000623901161533665</v>
      </c>
      <c r="AP75" s="30" t="str">
        <f t="shared" si="81"/>
        <v>319,51539128917-369,012545940657i</v>
      </c>
      <c r="AQ75" s="32">
        <f t="shared" si="82"/>
        <v>53.770517650875</v>
      </c>
      <c r="AR75" s="31">
        <f t="shared" si="83"/>
        <v>-49.111827004208</v>
      </c>
      <c r="AS75" t="str">
        <f t="shared" si="58"/>
        <v>-0,0000504684572142411</v>
      </c>
      <c r="AT75" t="str">
        <f t="shared" si="59"/>
        <v>0,0000524545228418897i</v>
      </c>
      <c r="AU75">
        <f t="shared" si="84"/>
        <v>5.24545228418897e-5</v>
      </c>
      <c r="AV75">
        <f t="shared" si="85"/>
        <v>1.5707963267949</v>
      </c>
      <c r="AW75" t="str">
        <f t="shared" si="60"/>
        <v>1+0,00268557535837795i</v>
      </c>
      <c r="AX75">
        <f t="shared" si="86"/>
        <v>1.000003606151</v>
      </c>
      <c r="AY75">
        <f t="shared" si="87"/>
        <v>0.00268556890200074</v>
      </c>
      <c r="AZ75" t="str">
        <f t="shared" si="61"/>
        <v>1+0,128393358090963i</v>
      </c>
      <c r="BA75">
        <f t="shared" si="88"/>
        <v>1.00820873553142</v>
      </c>
      <c r="BB75">
        <f t="shared" si="89"/>
        <v>0.127694739881487</v>
      </c>
      <c r="BC75" s="30" t="str">
        <f t="shared" si="90"/>
        <v>-0,12094728450508+0,962462193771276i</v>
      </c>
      <c r="BD75" s="32">
        <f t="shared" si="91"/>
        <v>-0.264280440555474</v>
      </c>
      <c r="BE75" s="31">
        <f t="shared" si="92"/>
        <v>97.1624978975539</v>
      </c>
      <c r="BF75" s="30" t="str">
        <f t="shared" si="93"/>
        <v>67,5457178565281+61,1785984454688i</v>
      </c>
      <c r="BG75" s="68">
        <f t="shared" si="94"/>
        <v>39.19352443632</v>
      </c>
      <c r="BH75" s="31">
        <f t="shared" si="95"/>
        <v>42.1682740203962</v>
      </c>
      <c r="BI75" s="30" t="str">
        <f t="shared" si="103"/>
        <v>316,516105561165+352,152549823691i</v>
      </c>
      <c r="BJ75" s="68">
        <f t="shared" si="97"/>
        <v>53.5062372103195</v>
      </c>
      <c r="BK75" s="31">
        <f t="shared" si="104"/>
        <v>48.050670893346</v>
      </c>
      <c r="BL75" s="32">
        <f t="shared" si="99"/>
        <v>39.19352443632</v>
      </c>
      <c r="BM75" s="31">
        <f t="shared" si="100"/>
        <v>42.1682740203962</v>
      </c>
      <c r="BO75">
        <f t="shared" si="101"/>
        <v>0</v>
      </c>
      <c r="BP75">
        <f t="shared" si="102"/>
        <v>0</v>
      </c>
    </row>
    <row r="76" spans="1:68">
      <c r="N76" s="7">
        <v>58</v>
      </c>
      <c r="O76" s="18">
        <f t="shared" si="62"/>
        <v>38.0189396320561</v>
      </c>
      <c r="P76" s="86" t="str">
        <f t="shared" si="50"/>
        <v>163,636363636364</v>
      </c>
      <c r="Q76" s="4" t="str">
        <f t="shared" si="51"/>
        <v>1+1,45933989838672i</v>
      </c>
      <c r="R76" s="4">
        <f t="shared" si="63"/>
        <v>1.76908816598364</v>
      </c>
      <c r="S76" s="4">
        <f t="shared" si="64"/>
        <v>0.970044343195945</v>
      </c>
      <c r="T76" s="4" t="str">
        <f t="shared" si="52"/>
        <v>1+0,00374563907252591i</v>
      </c>
      <c r="U76" s="4">
        <f t="shared" si="65"/>
        <v>1.00000701488143</v>
      </c>
      <c r="V76" s="4">
        <f t="shared" si="66"/>
        <v>0.00374562155580262</v>
      </c>
      <c r="W76" t="str">
        <f t="shared" si="53"/>
        <v>1-0,00358320064336025i</v>
      </c>
      <c r="X76" s="4">
        <f t="shared" si="67"/>
        <v>1.00000641964282</v>
      </c>
      <c r="Y76" s="4">
        <f t="shared" si="68"/>
        <v>-0.00358318530818364</v>
      </c>
      <c r="Z76" t="str">
        <f t="shared" si="54"/>
        <v>0,999999988200492+0,000742234418981765i</v>
      </c>
      <c r="AA76" s="4">
        <f t="shared" si="69"/>
        <v>1.00000026365642</v>
      </c>
      <c r="AB76" s="4">
        <f t="shared" si="70"/>
        <v>0.000742234291437874</v>
      </c>
      <c r="AC76" s="67" t="str">
        <f t="shared" si="71"/>
        <v>52,241891196049-76,3335534773944i</v>
      </c>
      <c r="AD76" s="68">
        <f t="shared" si="72"/>
        <v>39.3227212518609</v>
      </c>
      <c r="AE76" s="31">
        <f t="shared" si="73"/>
        <v>-55.6126667865484</v>
      </c>
      <c r="AF76" s="32" t="str">
        <f t="shared" si="74"/>
        <v>748,315388573934</v>
      </c>
      <c r="AG76" s="32" t="str">
        <f t="shared" si="55"/>
        <v>1+1,18909176905585i</v>
      </c>
      <c r="AH76" s="32">
        <f t="shared" si="75"/>
        <v>1.55368569383784</v>
      </c>
      <c r="AI76" s="32">
        <f t="shared" si="76"/>
        <v>0.871563381683565</v>
      </c>
      <c r="AJ76" s="32" t="str">
        <f t="shared" si="56"/>
        <v>1+0,00374563907252591i</v>
      </c>
      <c r="AK76" s="32">
        <f t="shared" si="77"/>
        <v>1.00000701488143</v>
      </c>
      <c r="AL76" s="32">
        <f t="shared" si="78"/>
        <v>0.00374562155580262</v>
      </c>
      <c r="AM76" s="32" t="str">
        <f t="shared" si="57"/>
        <v>1-0,000638433769310572i</v>
      </c>
      <c r="AN76" s="32">
        <f t="shared" si="79"/>
        <v>1.00000020379882</v>
      </c>
      <c r="AO76" s="32">
        <f t="shared" si="80"/>
        <v>-0.000638433682569219</v>
      </c>
      <c r="AP76" s="30" t="str">
        <f t="shared" si="81"/>
        <v>311,143713584413-367,653259272842i</v>
      </c>
      <c r="AQ76" s="32">
        <f t="shared" si="82"/>
        <v>53.6544928894585</v>
      </c>
      <c r="AR76" s="31">
        <f t="shared" si="83"/>
        <v>-49.7588745973275</v>
      </c>
      <c r="AS76" t="str">
        <f t="shared" si="58"/>
        <v>-0,0000504684572142411</v>
      </c>
      <c r="AT76" t="str">
        <f t="shared" si="59"/>
        <v>0,0000536763456375364i</v>
      </c>
      <c r="AU76">
        <f t="shared" si="84"/>
        <v>5.36763456375364e-5</v>
      </c>
      <c r="AV76">
        <f t="shared" si="85"/>
        <v>1.5707963267949</v>
      </c>
      <c r="AW76" t="str">
        <f t="shared" si="60"/>
        <v>1+0,00274813044447003i</v>
      </c>
      <c r="AX76">
        <f t="shared" si="86"/>
        <v>1.00000377610334</v>
      </c>
      <c r="AY76">
        <f t="shared" si="87"/>
        <v>0.00274812352633862</v>
      </c>
      <c r="AZ76" t="str">
        <f t="shared" si="61"/>
        <v>1+0,131384023589875i</v>
      </c>
      <c r="BA76">
        <f t="shared" si="88"/>
        <v>1.00859395281484</v>
      </c>
      <c r="BB76">
        <f t="shared" si="89"/>
        <v>0.130635784753975</v>
      </c>
      <c r="BC76" s="30" t="str">
        <f t="shared" si="90"/>
        <v>-0,12094724339469+0,940568838918511i</v>
      </c>
      <c r="BD76" s="32">
        <f t="shared" si="91"/>
        <v>-0.460963838205909</v>
      </c>
      <c r="BE76" s="31">
        <f t="shared" si="92"/>
        <v>97.3274232401425</v>
      </c>
      <c r="BF76" s="30" t="str">
        <f t="shared" si="93"/>
        <v>65,4784490348695+58,369427816787i</v>
      </c>
      <c r="BG76" s="68">
        <f t="shared" si="94"/>
        <v>38.861757413655</v>
      </c>
      <c r="BH76" s="31">
        <f t="shared" si="95"/>
        <v>41.714756453594</v>
      </c>
      <c r="BI76" s="30" t="str">
        <f t="shared" si="103"/>
        <v>308,171224741242+337,118729657009i</v>
      </c>
      <c r="BJ76" s="68">
        <f t="shared" si="97"/>
        <v>53.1935290512526</v>
      </c>
      <c r="BK76" s="31">
        <f t="shared" si="104"/>
        <v>47.568548642815</v>
      </c>
      <c r="BL76" s="32">
        <f t="shared" si="99"/>
        <v>38.861757413655</v>
      </c>
      <c r="BM76" s="31">
        <f t="shared" si="100"/>
        <v>41.714756453594</v>
      </c>
      <c r="BO76">
        <f t="shared" si="101"/>
        <v>0</v>
      </c>
      <c r="BP76">
        <f t="shared" si="102"/>
        <v>0</v>
      </c>
    </row>
    <row r="77" spans="1:68">
      <c r="A77" s="30" t="str">
        <f>"Crossover Frequency = "&amp;B77</f>
        <v>Crossover Frequency = 0,6 kHz</v>
      </c>
      <c r="B77" s="32" t="str">
        <f>ROUND(D77,1)&amp;" kHz"</f>
        <v>0,6 kHz</v>
      </c>
      <c r="C77" s="91"/>
      <c r="D77" s="92">
        <f>BP12</f>
        <v>0.575439937337157</v>
      </c>
      <c r="N77" s="7">
        <v>59</v>
      </c>
      <c r="O77" s="18">
        <f t="shared" si="62"/>
        <v>38.9045144994281</v>
      </c>
      <c r="P77" s="86" t="str">
        <f t="shared" si="50"/>
        <v>163,636363636364</v>
      </c>
      <c r="Q77" s="4" t="str">
        <f t="shared" si="51"/>
        <v>1+1,49333229137484i</v>
      </c>
      <c r="R77" s="4">
        <f t="shared" si="63"/>
        <v>1.79723157452311</v>
      </c>
      <c r="S77" s="4">
        <f t="shared" si="64"/>
        <v>0.980735790398934</v>
      </c>
      <c r="T77" s="4" t="str">
        <f t="shared" si="52"/>
        <v>1+0,00383288621452875i</v>
      </c>
      <c r="U77" s="4">
        <f t="shared" si="65"/>
        <v>1.00000734548139</v>
      </c>
      <c r="V77" s="4">
        <f t="shared" si="66"/>
        <v>0.00383286744502902</v>
      </c>
      <c r="W77" t="str">
        <f t="shared" si="53"/>
        <v>1-0,00366666410828643i</v>
      </c>
      <c r="X77" s="4">
        <f t="shared" si="67"/>
        <v>1.00000672219025</v>
      </c>
      <c r="Y77" s="4">
        <f t="shared" si="68"/>
        <v>-0.00366664767635461</v>
      </c>
      <c r="Z77" t="str">
        <f t="shared" si="54"/>
        <v>0,999999987644398+0,000759523279573618i</v>
      </c>
      <c r="AA77" s="4">
        <f t="shared" si="69"/>
        <v>1.00000027608217</v>
      </c>
      <c r="AB77" s="4">
        <f t="shared" si="70"/>
        <v>0.000759523142907878</v>
      </c>
      <c r="AC77" s="67" t="str">
        <f t="shared" si="71"/>
        <v>50,6165683841958-75,6844433866738i</v>
      </c>
      <c r="AD77" s="68">
        <f t="shared" si="72"/>
        <v>39.1856353935588</v>
      </c>
      <c r="AE77" s="31">
        <f t="shared" si="73"/>
        <v>-56.2260153866002</v>
      </c>
      <c r="AF77" s="32" t="str">
        <f t="shared" si="74"/>
        <v>748,315388573934</v>
      </c>
      <c r="AG77" s="32" t="str">
        <f t="shared" si="55"/>
        <v>1+1,21678927445357i</v>
      </c>
      <c r="AH77" s="32">
        <f t="shared" si="75"/>
        <v>1.57498448831258</v>
      </c>
      <c r="AI77" s="32">
        <f t="shared" si="76"/>
        <v>0.882882444803651</v>
      </c>
      <c r="AJ77" s="32" t="str">
        <f t="shared" si="56"/>
        <v>1+0,00383288621452875i</v>
      </c>
      <c r="AK77" s="32">
        <f t="shared" si="77"/>
        <v>1.00000734548139</v>
      </c>
      <c r="AL77" s="32">
        <f t="shared" si="78"/>
        <v>0.00383286744502902</v>
      </c>
      <c r="AM77" s="32" t="str">
        <f t="shared" si="57"/>
        <v>1-0,000653304802170896i</v>
      </c>
      <c r="AN77" s="32">
        <f t="shared" si="79"/>
        <v>1.00000021340356</v>
      </c>
      <c r="AO77" s="32">
        <f t="shared" si="80"/>
        <v>-0.000653304709225863</v>
      </c>
      <c r="AP77" s="30" t="str">
        <f t="shared" si="81"/>
        <v>302,837874480312-366,110547865869i</v>
      </c>
      <c r="AQ77" s="32">
        <f t="shared" si="82"/>
        <v>53.5362335633952</v>
      </c>
      <c r="AR77" s="31">
        <f t="shared" si="83"/>
        <v>-50.4032623679825</v>
      </c>
      <c r="AS77" t="str">
        <f t="shared" si="58"/>
        <v>-0,0000504684572142411</v>
      </c>
      <c r="AT77" t="str">
        <f t="shared" si="59"/>
        <v>0,0000549266283421307i</v>
      </c>
      <c r="AU77">
        <f t="shared" si="84"/>
        <v>5.49266283421307e-5</v>
      </c>
      <c r="AV77">
        <f t="shared" si="85"/>
        <v>1.5707963267949</v>
      </c>
      <c r="AW77" t="str">
        <f t="shared" si="60"/>
        <v>1+0,00281214262569958i</v>
      </c>
      <c r="AX77">
        <f t="shared" si="86"/>
        <v>1.00000395406526</v>
      </c>
      <c r="AY77">
        <f t="shared" si="87"/>
        <v>0.0028121352127898</v>
      </c>
      <c r="AZ77" t="str">
        <f t="shared" si="61"/>
        <v>1+0,134444350637169i</v>
      </c>
      <c r="BA77">
        <f t="shared" si="88"/>
        <v>1.00899716720031</v>
      </c>
      <c r="BB77">
        <f t="shared" si="89"/>
        <v>0.133642983892529</v>
      </c>
      <c r="BC77" s="30" t="str">
        <f t="shared" si="90"/>
        <v>-0,120947200346858+0,919174186103388i</v>
      </c>
      <c r="BD77" s="32">
        <f t="shared" si="91"/>
        <v>-0.657493644153988</v>
      </c>
      <c r="BE77" s="31">
        <f t="shared" si="92"/>
        <v>97.4960554594638</v>
      </c>
      <c r="BF77" s="30" t="str">
        <f t="shared" si="93"/>
        <v>63,4452544134001+55,6792645853181i</v>
      </c>
      <c r="BG77" s="68">
        <f t="shared" si="94"/>
        <v>38.5281417494048</v>
      </c>
      <c r="BH77" s="31">
        <f t="shared" si="95"/>
        <v>41.2700400728636</v>
      </c>
      <c r="BI77" s="30" t="str">
        <f t="shared" si="103"/>
        <v>299,891971781089+322,640802578552i</v>
      </c>
      <c r="BJ77" s="68">
        <f t="shared" si="97"/>
        <v>52.8787399192412</v>
      </c>
      <c r="BK77" s="31">
        <f t="shared" si="104"/>
        <v>47.0927930914813</v>
      </c>
      <c r="BL77" s="32">
        <f t="shared" si="99"/>
        <v>38.5281417494048</v>
      </c>
      <c r="BM77" s="31">
        <f t="shared" si="100"/>
        <v>41.2700400728636</v>
      </c>
      <c r="BO77">
        <f t="shared" si="101"/>
        <v>0</v>
      </c>
      <c r="BP77">
        <f t="shared" si="102"/>
        <v>0</v>
      </c>
    </row>
    <row r="78" spans="1:68">
      <c r="A78" s="30" t="str">
        <f>"Phase Margin = "&amp;B78</f>
        <v>Phase Margin = 63°</v>
      </c>
      <c r="B78" s="93" t="str">
        <f>ROUND(D78,0)&amp;"°"</f>
        <v>63°</v>
      </c>
      <c r="C78" s="94"/>
      <c r="D78" s="18">
        <f>BP14</f>
        <v>63.0106313059578</v>
      </c>
      <c r="N78" s="7">
        <v>60</v>
      </c>
      <c r="O78" s="18">
        <f t="shared" si="62"/>
        <v>39.8107170553498</v>
      </c>
      <c r="P78" s="86" t="str">
        <f t="shared" si="50"/>
        <v>163,636363636364</v>
      </c>
      <c r="Q78" s="4" t="str">
        <f t="shared" si="51"/>
        <v>1+1,52811646891044i</v>
      </c>
      <c r="R78" s="4">
        <f t="shared" si="63"/>
        <v>1.82623655164256</v>
      </c>
      <c r="S78" s="4">
        <f t="shared" si="64"/>
        <v>0.991333909563138</v>
      </c>
      <c r="T78" s="4" t="str">
        <f t="shared" si="52"/>
        <v>1+0,00392216560353678i</v>
      </c>
      <c r="U78" s="4">
        <f t="shared" si="65"/>
        <v>1.00000769166193</v>
      </c>
      <c r="V78" s="4">
        <f t="shared" si="66"/>
        <v>0.00392214549166383</v>
      </c>
      <c r="W78" t="str">
        <f t="shared" si="53"/>
        <v>1-0,00375207168705687i</v>
      </c>
      <c r="X78" s="4">
        <f t="shared" si="67"/>
        <v>1.0000070389962</v>
      </c>
      <c r="Y78" s="4">
        <f t="shared" si="68"/>
        <v>-0.0037520540799314</v>
      </c>
      <c r="Z78" t="str">
        <f t="shared" si="54"/>
        <v>0,999999987062096+0,00077721484946178i</v>
      </c>
      <c r="AA78" s="4">
        <f t="shared" si="69"/>
        <v>1.00000028909352</v>
      </c>
      <c r="AB78" s="4">
        <f t="shared" si="70"/>
        <v>0.000777214703021804</v>
      </c>
      <c r="AC78" s="67" t="str">
        <f t="shared" si="71"/>
        <v>49,0194962769232-75,0068484347603i</v>
      </c>
      <c r="AD78" s="68">
        <f t="shared" si="72"/>
        <v>39.0465812198442</v>
      </c>
      <c r="AE78" s="31">
        <f t="shared" si="73"/>
        <v>-56.8340347084065</v>
      </c>
      <c r="AF78" s="32" t="str">
        <f t="shared" si="74"/>
        <v>748,315388573934</v>
      </c>
      <c r="AG78" s="32" t="str">
        <f t="shared" si="55"/>
        <v>1+1,24513193763073i</v>
      </c>
      <c r="AH78" s="32">
        <f t="shared" si="75"/>
        <v>1.59698263675848</v>
      </c>
      <c r="AI78" s="32">
        <f t="shared" si="76"/>
        <v>0.894151133253158</v>
      </c>
      <c r="AJ78" s="32" t="str">
        <f t="shared" si="56"/>
        <v>1+0,00392216560353678i</v>
      </c>
      <c r="AK78" s="32">
        <f t="shared" si="77"/>
        <v>1.00000769166193</v>
      </c>
      <c r="AL78" s="32">
        <f t="shared" si="78"/>
        <v>0.00392214549166383</v>
      </c>
      <c r="AM78" s="32" t="str">
        <f t="shared" si="57"/>
        <v>1-0,000668522225884843i</v>
      </c>
      <c r="AN78" s="32">
        <f t="shared" si="79"/>
        <v>1.00000022346096</v>
      </c>
      <c r="AO78" s="32">
        <f t="shared" si="80"/>
        <v>-0.000668522126292447</v>
      </c>
      <c r="AP78" s="30" t="str">
        <f t="shared" si="81"/>
        <v>294,605796816598-364,388335219067i</v>
      </c>
      <c r="AQ78" s="32">
        <f t="shared" si="82"/>
        <v>53.4157583893811</v>
      </c>
      <c r="AR78" s="31">
        <f t="shared" si="83"/>
        <v>-51.0446672952847</v>
      </c>
      <c r="AS78" t="str">
        <f t="shared" si="58"/>
        <v>-0,0000504684572142411</v>
      </c>
      <c r="AT78" t="str">
        <f t="shared" si="59"/>
        <v>0,0000562060338721118i</v>
      </c>
      <c r="AU78">
        <f t="shared" si="84"/>
        <v>5.62060338721118e-5</v>
      </c>
      <c r="AV78">
        <f t="shared" si="85"/>
        <v>1.5707963267949</v>
      </c>
      <c r="AW78" t="str">
        <f t="shared" si="60"/>
        <v>1+0,00287764584217238i</v>
      </c>
      <c r="AX78">
        <f t="shared" si="86"/>
        <v>1.00000414041423</v>
      </c>
      <c r="AY78">
        <f t="shared" si="87"/>
        <v>0.00287763789909821</v>
      </c>
      <c r="AZ78" t="str">
        <f t="shared" si="61"/>
        <v>1+0,137575961858752i</v>
      </c>
      <c r="BA78">
        <f t="shared" si="88"/>
        <v>1.00941921186461</v>
      </c>
      <c r="BB78">
        <f t="shared" si="89"/>
        <v>0.136717714080046</v>
      </c>
      <c r="BC78" s="30" t="str">
        <f t="shared" si="90"/>
        <v>-0,120947155270277+0,898266891597033i</v>
      </c>
      <c r="BD78" s="32">
        <f t="shared" si="91"/>
        <v>-0.853862877020477</v>
      </c>
      <c r="BE78" s="31">
        <f t="shared" si="92"/>
        <v>97.6684714948778</v>
      </c>
      <c r="BF78" s="30" t="str">
        <f t="shared" si="93"/>
        <v>61,4473999645061+53,1044554922972i</v>
      </c>
      <c r="BG78" s="68">
        <f t="shared" si="94"/>
        <v>38.1927183428238</v>
      </c>
      <c r="BH78" s="31">
        <f t="shared" si="95"/>
        <v>40.8344367864713</v>
      </c>
      <c r="BI78" s="30" t="str">
        <f t="shared" si="103"/>
        <v>291,686244160348+308,706365911331i</v>
      </c>
      <c r="BJ78" s="68">
        <f t="shared" si="97"/>
        <v>52.5618955123606</v>
      </c>
      <c r="BK78" s="31">
        <f t="shared" si="104"/>
        <v>46.6238041995931</v>
      </c>
      <c r="BL78" s="32">
        <f t="shared" si="99"/>
        <v>38.1927183428238</v>
      </c>
      <c r="BM78" s="31">
        <f t="shared" si="100"/>
        <v>40.8344367864713</v>
      </c>
      <c r="BO78">
        <f t="shared" si="101"/>
        <v>0</v>
      </c>
      <c r="BP78">
        <f t="shared" si="102"/>
        <v>0</v>
      </c>
    </row>
    <row r="79" spans="1:68">
      <c r="N79" s="7">
        <v>61</v>
      </c>
      <c r="O79" s="18">
        <f t="shared" si="62"/>
        <v>40.7380277804113</v>
      </c>
      <c r="P79" s="86" t="str">
        <f t="shared" si="50"/>
        <v>163,636363636364</v>
      </c>
      <c r="Q79" s="4" t="str">
        <f t="shared" si="51"/>
        <v>1+1,56371087402486i</v>
      </c>
      <c r="R79" s="4">
        <f t="shared" si="63"/>
        <v>1.85612275928711</v>
      </c>
      <c r="S79" s="4">
        <f t="shared" si="64"/>
        <v>1.00183479677333</v>
      </c>
      <c r="T79" s="4" t="str">
        <f t="shared" si="52"/>
        <v>1+0,00401352457666379i</v>
      </c>
      <c r="U79" s="4">
        <f t="shared" si="65"/>
        <v>1.00000805415733</v>
      </c>
      <c r="V79" s="4">
        <f t="shared" si="66"/>
        <v>0.00401350302641303</v>
      </c>
      <c r="W79" t="str">
        <f t="shared" si="53"/>
        <v>1-0,00383946866390031i</v>
      </c>
      <c r="X79" s="4">
        <f t="shared" si="67"/>
        <v>1.00000737073265</v>
      </c>
      <c r="Y79" s="4">
        <f t="shared" si="68"/>
        <v>-0.00383944979753297</v>
      </c>
      <c r="Z79" t="str">
        <f t="shared" si="54"/>
        <v>0,999999986452352+0,000795318508950779i</v>
      </c>
      <c r="AA79" s="4">
        <f t="shared" si="69"/>
        <v>1.00000030271807</v>
      </c>
      <c r="AB79" s="4">
        <f t="shared" si="70"/>
        <v>0.00079531835203752</v>
      </c>
      <c r="AC79" s="67" t="str">
        <f t="shared" si="71"/>
        <v>47,4515931957825-74,3022353664663i</v>
      </c>
      <c r="AD79" s="68">
        <f t="shared" si="72"/>
        <v>38.9055938283694</v>
      </c>
      <c r="AE79" s="31">
        <f t="shared" si="73"/>
        <v>-57.4365014939738</v>
      </c>
      <c r="AF79" s="32" t="str">
        <f t="shared" si="74"/>
        <v>748,315388573934</v>
      </c>
      <c r="AG79" s="32" t="str">
        <f t="shared" si="55"/>
        <v>1+1,27413478624247i</v>
      </c>
      <c r="AH79" s="32">
        <f t="shared" si="75"/>
        <v>1.61969733392173</v>
      </c>
      <c r="AI79" s="32">
        <f t="shared" si="76"/>
        <v>0.905363975047373</v>
      </c>
      <c r="AJ79" s="32" t="str">
        <f t="shared" si="56"/>
        <v>1+0,00401352457666379i</v>
      </c>
      <c r="AK79" s="32">
        <f t="shared" si="77"/>
        <v>1.00000805415733</v>
      </c>
      <c r="AL79" s="32">
        <f t="shared" si="78"/>
        <v>0.00401350302641303</v>
      </c>
      <c r="AM79" s="32" t="str">
        <f t="shared" si="57"/>
        <v>1-0,000684094108931889i</v>
      </c>
      <c r="AN79" s="32">
        <f t="shared" si="79"/>
        <v>1.00000023399235</v>
      </c>
      <c r="AO79" s="32">
        <f t="shared" si="80"/>
        <v>-0.000684094002216716</v>
      </c>
      <c r="AP79" s="30" t="str">
        <f t="shared" si="81"/>
        <v>286,455108497333-362,490954379123i</v>
      </c>
      <c r="AQ79" s="32">
        <f t="shared" si="82"/>
        <v>53.293088168561</v>
      </c>
      <c r="AR79" s="31">
        <f t="shared" si="83"/>
        <v>-51.6827736080429</v>
      </c>
      <c r="AS79" t="str">
        <f t="shared" si="58"/>
        <v>-0,0000504684572142411</v>
      </c>
      <c r="AT79" t="str">
        <f t="shared" si="59"/>
        <v>0,0000575152405852267i</v>
      </c>
      <c r="AU79">
        <f t="shared" si="84"/>
        <v>5.75152405852267e-5</v>
      </c>
      <c r="AV79">
        <f t="shared" si="85"/>
        <v>1.5707963267949</v>
      </c>
      <c r="AW79" t="str">
        <f t="shared" si="60"/>
        <v>1+0,00294467482456084i</v>
      </c>
      <c r="AX79">
        <f t="shared" si="86"/>
        <v>1.00000433554551</v>
      </c>
      <c r="AY79">
        <f t="shared" si="87"/>
        <v>0.00294466631340552</v>
      </c>
      <c r="AZ79" t="str">
        <f t="shared" si="61"/>
        <v>1+0,140780517676345i</v>
      </c>
      <c r="BA79">
        <f t="shared" si="88"/>
        <v>1.00986095783391</v>
      </c>
      <c r="BB79">
        <f t="shared" si="89"/>
        <v>0.139861372909423</v>
      </c>
      <c r="BC79" s="30" t="str">
        <f t="shared" si="90"/>
        <v>-0,120947108069338+0,877835870074342i</v>
      </c>
      <c r="BD79" s="32">
        <f t="shared" si="91"/>
        <v>-1.05006425052402</v>
      </c>
      <c r="BE79" s="31">
        <f t="shared" si="92"/>
        <v>97.8447494327828</v>
      </c>
      <c r="BF79" s="30" t="str">
        <f t="shared" si="93"/>
        <v>59,4860344610779+50,6413510900948i</v>
      </c>
      <c r="BG79" s="68">
        <f t="shared" si="94"/>
        <v>37.8555295778454</v>
      </c>
      <c r="BH79" s="31">
        <f t="shared" si="95"/>
        <v>40.408247938809</v>
      </c>
      <c r="BI79" s="30" t="str">
        <f t="shared" si="103"/>
        <v>283,561645367035+295,302802038446i</v>
      </c>
      <c r="BJ79" s="68">
        <f t="shared" si="97"/>
        <v>52.243023918037</v>
      </c>
      <c r="BK79" s="31">
        <f t="shared" si="104"/>
        <v>46.16197582474</v>
      </c>
      <c r="BL79" s="32">
        <f t="shared" si="99"/>
        <v>37.8555295778454</v>
      </c>
      <c r="BM79" s="31">
        <f t="shared" si="100"/>
        <v>40.408247938809</v>
      </c>
      <c r="BO79">
        <f t="shared" si="101"/>
        <v>0</v>
      </c>
      <c r="BP79">
        <f t="shared" si="102"/>
        <v>0</v>
      </c>
    </row>
    <row r="80" spans="1:68">
      <c r="N80" s="7">
        <v>62</v>
      </c>
      <c r="O80" s="18">
        <f t="shared" si="62"/>
        <v>41.6869383470336</v>
      </c>
      <c r="P80" s="86" t="str">
        <f t="shared" si="50"/>
        <v>163,636363636364</v>
      </c>
      <c r="Q80" s="4" t="str">
        <f t="shared" si="51"/>
        <v>1+1,60013437934285i</v>
      </c>
      <c r="R80" s="4">
        <f t="shared" si="63"/>
        <v>1.88691018121026</v>
      </c>
      <c r="S80" s="4">
        <f t="shared" si="64"/>
        <v>1.01223475617813</v>
      </c>
      <c r="T80" s="4" t="str">
        <f t="shared" si="52"/>
        <v>1+0,00410701157364665i</v>
      </c>
      <c r="U80" s="4">
        <f t="shared" si="65"/>
        <v>1.00000843373647</v>
      </c>
      <c r="V80" s="4">
        <f t="shared" si="66"/>
        <v>0.00410698848214745</v>
      </c>
      <c r="W80" t="str">
        <f t="shared" si="53"/>
        <v>1-0,00392890137785075i</v>
      </c>
      <c r="X80" s="4">
        <f t="shared" si="67"/>
        <v>1.00000771810323</v>
      </c>
      <c r="Y80" s="4">
        <f t="shared" si="68"/>
        <v>-0.00392888116218235</v>
      </c>
      <c r="Z80" t="str">
        <f t="shared" si="54"/>
        <v>0,999999985813871+0,000813843856840512i</v>
      </c>
      <c r="AA80" s="4">
        <f t="shared" si="69"/>
        <v>1.00000031698473</v>
      </c>
      <c r="AB80" s="4">
        <f t="shared" si="70"/>
        <v>0.000813843688704929</v>
      </c>
      <c r="AC80" s="67" t="str">
        <f t="shared" si="71"/>
        <v>45,9136835507502-73,572094759728i</v>
      </c>
      <c r="AD80" s="68">
        <f t="shared" si="72"/>
        <v>38.7627093819307</v>
      </c>
      <c r="AE80" s="31">
        <f t="shared" si="73"/>
        <v>-58.0332044162729</v>
      </c>
      <c r="AF80" s="32" t="str">
        <f t="shared" si="74"/>
        <v>748,315388573934</v>
      </c>
      <c r="AG80" s="32" t="str">
        <f t="shared" si="55"/>
        <v>1+1,30381319798306i</v>
      </c>
      <c r="AH80" s="32">
        <f t="shared" si="75"/>
        <v>1.64314602371025</v>
      </c>
      <c r="AI80" s="32">
        <f t="shared" si="76"/>
        <v>0.916515637866143</v>
      </c>
      <c r="AJ80" s="32" t="str">
        <f t="shared" si="56"/>
        <v>1+0,00410701157364665i</v>
      </c>
      <c r="AK80" s="32">
        <f t="shared" si="77"/>
        <v>1.00000843373647</v>
      </c>
      <c r="AL80" s="32">
        <f t="shared" si="78"/>
        <v>0.00410698848214745</v>
      </c>
      <c r="AM80" s="32" t="str">
        <f t="shared" si="57"/>
        <v>1-0,000700028707730551i</v>
      </c>
      <c r="AN80" s="32">
        <f t="shared" si="79"/>
        <v>1.00000024502007</v>
      </c>
      <c r="AO80" s="32">
        <f t="shared" si="80"/>
        <v>-0.000700028593383184</v>
      </c>
      <c r="AP80" s="30" t="str">
        <f t="shared" si="81"/>
        <v>278,393116656255-360,42312201689i</v>
      </c>
      <c r="AQ80" s="32">
        <f t="shared" si="82"/>
        <v>53.1682457039907</v>
      </c>
      <c r="AR80" s="31">
        <f t="shared" si="83"/>
        <v>-52.317273484874</v>
      </c>
      <c r="AS80" t="str">
        <f t="shared" si="58"/>
        <v>-0,0000504684572142411</v>
      </c>
      <c r="AT80" t="str">
        <f t="shared" si="59"/>
        <v>0,0000588549426402041i</v>
      </c>
      <c r="AU80">
        <f t="shared" si="84"/>
        <v>5.88549426402041e-5</v>
      </c>
      <c r="AV80">
        <f t="shared" si="85"/>
        <v>1.5707963267949</v>
      </c>
      <c r="AW80" t="str">
        <f t="shared" si="60"/>
        <v>1+0,00301326511251867i</v>
      </c>
      <c r="AX80">
        <f t="shared" si="86"/>
        <v>1.00000453987301</v>
      </c>
      <c r="AY80">
        <f t="shared" si="87"/>
        <v>0.00301325599265367</v>
      </c>
      <c r="AZ80" t="str">
        <f t="shared" si="61"/>
        <v>1+0,14405971718786i</v>
      </c>
      <c r="BA80">
        <f t="shared" si="88"/>
        <v>1.01032331563527</v>
      </c>
      <c r="BB80">
        <f t="shared" si="89"/>
        <v>0.143075378519735</v>
      </c>
      <c r="BC80" s="30" t="str">
        <f t="shared" si="90"/>
        <v>-0,120947058643926+0,85787028873639i</v>
      </c>
      <c r="BD80" s="32">
        <f t="shared" si="91"/>
        <v>-1.24609016133879</v>
      </c>
      <c r="BE80" s="31">
        <f t="shared" si="92"/>
        <v>98.024968490446</v>
      </c>
      <c r="BF80" s="30" t="str">
        <f t="shared" si="93"/>
        <v>57,5621891974977+48,2863134240946i</v>
      </c>
      <c r="BG80" s="68">
        <f t="shared" si="94"/>
        <v>37.5166192205919</v>
      </c>
      <c r="BH80" s="31">
        <f t="shared" si="95"/>
        <v>39.9917640741731</v>
      </c>
      <c r="BI80" s="30" t="str">
        <f t="shared" si="103"/>
        <v>275,525459145611+282,417299843329i</v>
      </c>
      <c r="BJ80" s="68">
        <f t="shared" si="97"/>
        <v>51.9221555426519</v>
      </c>
      <c r="BK80" s="31">
        <f t="shared" si="104"/>
        <v>45.707695005572</v>
      </c>
      <c r="BL80" s="32">
        <f t="shared" si="99"/>
        <v>37.5166192205919</v>
      </c>
      <c r="BM80" s="31">
        <f t="shared" si="100"/>
        <v>39.9917640741731</v>
      </c>
      <c r="BO80">
        <f t="shared" si="101"/>
        <v>0</v>
      </c>
      <c r="BP80">
        <f t="shared" si="102"/>
        <v>0</v>
      </c>
    </row>
    <row r="81" spans="14:68">
      <c r="N81" s="7">
        <v>63</v>
      </c>
      <c r="O81" s="18">
        <f t="shared" si="62"/>
        <v>42.6579518801593</v>
      </c>
      <c r="P81" s="86" t="str">
        <f t="shared" si="50"/>
        <v>163,636363636364</v>
      </c>
      <c r="Q81" s="4" t="str">
        <f t="shared" si="51"/>
        <v>1+1,63740629708905i</v>
      </c>
      <c r="R81" s="4">
        <f t="shared" si="63"/>
        <v>1.91861913410319</v>
      </c>
      <c r="S81" s="4">
        <f t="shared" si="64"/>
        <v>1.02253030286527</v>
      </c>
      <c r="T81" s="4" t="str">
        <f t="shared" si="52"/>
        <v>1+0,00420267616252856i</v>
      </c>
      <c r="U81" s="4">
        <f t="shared" si="65"/>
        <v>1.00000883120447</v>
      </c>
      <c r="V81" s="4">
        <f t="shared" si="66"/>
        <v>0.00420265141955318</v>
      </c>
      <c r="W81" t="str">
        <f t="shared" si="53"/>
        <v>1-0,00402041724731687i</v>
      </c>
      <c r="X81" s="4">
        <f t="shared" si="67"/>
        <v>1.00000808184476</v>
      </c>
      <c r="Y81" s="4">
        <f t="shared" si="68"/>
        <v>-0.00402039558584736</v>
      </c>
      <c r="Z81" t="str">
        <f t="shared" si="54"/>
        <v>0,999999985145299+0,000832800715515637i</v>
      </c>
      <c r="AA81" s="4">
        <f t="shared" si="69"/>
        <v>1.00000033192376</v>
      </c>
      <c r="AB81" s="4">
        <f t="shared" si="70"/>
        <v>0.000832800535355117</v>
      </c>
      <c r="AC81" s="67" t="str">
        <f t="shared" si="71"/>
        <v>44,406498176402-72,8179342726797i</v>
      </c>
      <c r="AD81" s="68">
        <f t="shared" si="72"/>
        <v>38.6179649939095</v>
      </c>
      <c r="AE81" s="31">
        <f t="shared" si="73"/>
        <v>-58.623944244203</v>
      </c>
      <c r="AF81" s="32" t="str">
        <f t="shared" si="74"/>
        <v>748,315388573934</v>
      </c>
      <c r="AG81" s="32" t="str">
        <f t="shared" si="55"/>
        <v>1+1,33418290873923i</v>
      </c>
      <c r="AH81" s="32">
        <f t="shared" si="75"/>
        <v>1.66734640491167</v>
      </c>
      <c r="AI81" s="32">
        <f t="shared" si="76"/>
        <v>0.927600940465749</v>
      </c>
      <c r="AJ81" s="32" t="str">
        <f t="shared" si="56"/>
        <v>1+0,00420267616252856i</v>
      </c>
      <c r="AK81" s="32">
        <f t="shared" si="77"/>
        <v>1.00000883120447</v>
      </c>
      <c r="AL81" s="32">
        <f t="shared" si="78"/>
        <v>0.00420265141955318</v>
      </c>
      <c r="AM81" s="32" t="str">
        <f t="shared" si="57"/>
        <v>1-0,000716334471016024i</v>
      </c>
      <c r="AN81" s="32">
        <f t="shared" si="79"/>
        <v>1.0000002565675</v>
      </c>
      <c r="AO81" s="32">
        <f t="shared" si="80"/>
        <v>-0.000716334348490614</v>
      </c>
      <c r="AP81" s="30" t="str">
        <f t="shared" si="81"/>
        <v>270,426784432149-358,189910717096i</v>
      </c>
      <c r="AQ81" s="32">
        <f t="shared" si="82"/>
        <v>53.0412557115244</v>
      </c>
      <c r="AR81" s="31">
        <f t="shared" si="83"/>
        <v>-52.9478677068371</v>
      </c>
      <c r="AS81" t="str">
        <f t="shared" si="58"/>
        <v>-0,0000504684572142411</v>
      </c>
      <c r="AT81" t="str">
        <f t="shared" si="59"/>
        <v>0,0000602258503648066i</v>
      </c>
      <c r="AU81">
        <f t="shared" si="84"/>
        <v>6.02258503648066e-5</v>
      </c>
      <c r="AV81">
        <f t="shared" si="85"/>
        <v>1.5707963267949</v>
      </c>
      <c r="AW81" t="str">
        <f t="shared" si="60"/>
        <v>1+0,00308345307352443i</v>
      </c>
      <c r="AX81">
        <f t="shared" si="86"/>
        <v>1.00000475383013</v>
      </c>
      <c r="AY81">
        <f t="shared" si="87"/>
        <v>0.00308344330141553</v>
      </c>
      <c r="AZ81" t="str">
        <f t="shared" si="61"/>
        <v>1+0,147415299068285i</v>
      </c>
      <c r="BA81">
        <f t="shared" si="88"/>
        <v>1.01080723701376</v>
      </c>
      <c r="BB81">
        <f t="shared" si="89"/>
        <v>0.146361169279337</v>
      </c>
      <c r="BC81" s="30" t="str">
        <f t="shared" si="90"/>
        <v>-0,12094700688921+0,838359561566742i</v>
      </c>
      <c r="BD81" s="32">
        <f t="shared" si="91"/>
        <v>-1.44193267658044</v>
      </c>
      <c r="BE81" s="31">
        <f t="shared" si="92"/>
        <v>98.2092089967668</v>
      </c>
      <c r="BF81" s="30" t="str">
        <f t="shared" si="93"/>
        <v>55,6767784101726+46,0357235400185i</v>
      </c>
      <c r="BG81" s="68">
        <f t="shared" si="94"/>
        <v>37.176032317329</v>
      </c>
      <c r="BH81" s="31">
        <f t="shared" si="95"/>
        <v>39.5852647525637</v>
      </c>
      <c r="BI81" s="30" t="str">
        <f t="shared" si="103"/>
        <v>267,584626346673+270,036878031586i</v>
      </c>
      <c r="BJ81" s="68">
        <f t="shared" si="97"/>
        <v>51.599323034944</v>
      </c>
      <c r="BK81" s="31">
        <f t="shared" si="104"/>
        <v>45.2613412899297</v>
      </c>
      <c r="BL81" s="32">
        <f t="shared" si="99"/>
        <v>37.176032317329</v>
      </c>
      <c r="BM81" s="31">
        <f t="shared" si="100"/>
        <v>39.5852647525637</v>
      </c>
      <c r="BO81">
        <f t="shared" si="101"/>
        <v>0</v>
      </c>
      <c r="BP81">
        <f t="shared" si="102"/>
        <v>0</v>
      </c>
    </row>
    <row r="82" spans="14:68">
      <c r="N82" s="7">
        <v>64</v>
      </c>
      <c r="O82" s="18">
        <f t="shared" si="62"/>
        <v>43.6515832240166</v>
      </c>
      <c r="P82" s="86" t="str">
        <f t="shared" si="50"/>
        <v>163,636363636364</v>
      </c>
      <c r="Q82" s="4" t="str">
        <f t="shared" si="51"/>
        <v>1+1,6755463893276i</v>
      </c>
      <c r="R82" s="4">
        <f t="shared" si="63"/>
        <v>1.95127027927675</v>
      </c>
      <c r="S82" s="4">
        <f t="shared" si="64"/>
        <v>1.03271816480072</v>
      </c>
      <c r="T82" s="4" t="str">
        <f t="shared" si="52"/>
        <v>1+0,00430056906594085i</v>
      </c>
      <c r="U82" s="4">
        <f t="shared" si="65"/>
        <v>1.00000924740439</v>
      </c>
      <c r="V82" s="4">
        <f t="shared" si="66"/>
        <v>0.0043005425533783</v>
      </c>
      <c r="W82" t="str">
        <f t="shared" si="53"/>
        <v>1-0,00411406479522402i</v>
      </c>
      <c r="X82" s="4">
        <f t="shared" si="67"/>
        <v>1.00000846272876</v>
      </c>
      <c r="Y82" s="4">
        <f t="shared" si="68"/>
        <v>-0.00411404158455187</v>
      </c>
      <c r="Z82" t="str">
        <f t="shared" si="54"/>
        <v>0,999999984445219+0,000852199136153547i</v>
      </c>
      <c r="AA82" s="4">
        <f t="shared" si="69"/>
        <v>1.00000034756684</v>
      </c>
      <c r="AB82" s="4">
        <f t="shared" si="70"/>
        <v>0.000852198943108075</v>
      </c>
      <c r="AC82" s="67" t="str">
        <f t="shared" si="71"/>
        <v>42,9306751957712-72,0412720947702i</v>
      </c>
      <c r="AD82" s="68">
        <f t="shared" si="72"/>
        <v>38.4713986144503</v>
      </c>
      <c r="AE82" s="31">
        <f t="shared" si="73"/>
        <v>-59.2085339539338</v>
      </c>
      <c r="AF82" s="32" t="str">
        <f t="shared" si="74"/>
        <v>748,315388573934</v>
      </c>
      <c r="AG82" s="32" t="str">
        <f t="shared" si="55"/>
        <v>1+1,3652600209336i</v>
      </c>
      <c r="AH82" s="32">
        <f t="shared" si="75"/>
        <v>1.6923164375375</v>
      </c>
      <c r="AI82" s="32">
        <f t="shared" si="76"/>
        <v>0.93861486321214</v>
      </c>
      <c r="AJ82" s="32" t="str">
        <f t="shared" si="56"/>
        <v>1+0,00430056906594085i</v>
      </c>
      <c r="AK82" s="32">
        <f t="shared" si="77"/>
        <v>1.00000924740439</v>
      </c>
      <c r="AL82" s="32">
        <f t="shared" si="78"/>
        <v>0.0043005425533783</v>
      </c>
      <c r="AM82" s="32" t="str">
        <f t="shared" si="57"/>
        <v>1-0,000733020044319837i</v>
      </c>
      <c r="AN82" s="32">
        <f t="shared" si="79"/>
        <v>1.00000026865916</v>
      </c>
      <c r="AO82" s="32">
        <f t="shared" si="80"/>
        <v>-0.000733019913031497</v>
      </c>
      <c r="AP82" s="30" t="str">
        <f t="shared" si="81"/>
        <v>262,562710479715-355,796719773548i</v>
      </c>
      <c r="AQ82" s="32">
        <f t="shared" si="82"/>
        <v>52.9121447248427</v>
      </c>
      <c r="AR82" s="31">
        <f t="shared" si="83"/>
        <v>-53.5742662596955</v>
      </c>
      <c r="AS82" t="str">
        <f t="shared" si="58"/>
        <v>-0,0000504684572142411</v>
      </c>
      <c r="AT82" t="str">
        <f t="shared" si="59"/>
        <v>0,0000616286906324558i</v>
      </c>
      <c r="AU82">
        <f t="shared" si="84"/>
        <v>6.16286906324558e-5</v>
      </c>
      <c r="AV82">
        <f t="shared" si="85"/>
        <v>1.5707963267949</v>
      </c>
      <c r="AW82" t="str">
        <f t="shared" si="60"/>
        <v>1+0,0031552759221641i</v>
      </c>
      <c r="AX82">
        <f t="shared" si="86"/>
        <v>1.00000497787068</v>
      </c>
      <c r="AY82">
        <f t="shared" si="87"/>
        <v>0.00315526545116358</v>
      </c>
      <c r="AZ82" t="str">
        <f t="shared" si="61"/>
        <v>1+0,150849042491547i</v>
      </c>
      <c r="BA82">
        <f t="shared" si="88"/>
        <v>1.01131371671733</v>
      </c>
      <c r="BB82">
        <f t="shared" si="89"/>
        <v>0.14972020341203</v>
      </c>
      <c r="BC82" s="30" t="str">
        <f t="shared" si="90"/>
        <v>-0,120946952695417+0,819293343718591i</v>
      </c>
      <c r="BD82" s="32">
        <f t="shared" si="91"/>
        <v>-1.63758352092044</v>
      </c>
      <c r="BE82" s="31">
        <f t="shared" si="92"/>
        <v>98.3975523697544</v>
      </c>
      <c r="BF82" s="30" t="str">
        <f t="shared" si="93"/>
        <v>53,8306003581799+43,885988757404i</v>
      </c>
      <c r="BG82" s="68">
        <f t="shared" si="94"/>
        <v>36.8338150935298</v>
      </c>
      <c r="BH82" s="31">
        <f t="shared" si="95"/>
        <v>39.1890184158206</v>
      </c>
      <c r="BI82" s="30" t="str">
        <f t="shared" si="103"/>
        <v>259,745724503406+258,148410040378i</v>
      </c>
      <c r="BJ82" s="68">
        <f t="shared" si="97"/>
        <v>51.2745612039223</v>
      </c>
      <c r="BK82" s="31">
        <f t="shared" si="104"/>
        <v>44.823286110059</v>
      </c>
      <c r="BL82" s="32">
        <f t="shared" si="99"/>
        <v>36.8338150935298</v>
      </c>
      <c r="BM82" s="31">
        <f t="shared" si="100"/>
        <v>39.1890184158206</v>
      </c>
      <c r="BO82">
        <f t="shared" si="101"/>
        <v>0</v>
      </c>
      <c r="BP82">
        <f t="shared" si="102"/>
        <v>0</v>
      </c>
    </row>
    <row r="83" spans="14:68">
      <c r="N83" s="7">
        <v>65</v>
      </c>
      <c r="O83" s="18">
        <f t="shared" si="62"/>
        <v>44.6683592150963</v>
      </c>
      <c r="P83" s="86" t="str">
        <f t="shared" ref="P83:P146" si="105">COMPLEX(Adc,0)</f>
        <v>163,636363636364</v>
      </c>
      <c r="Q83" s="4" t="str">
        <f t="shared" ref="Q83:Q146" si="106">IMSUM(COMPLEX(1,0),IMDIV(COMPLEX(0,2*PI()*O83),COMPLEX(wp_lf,0)))</f>
        <v>1+1,71457487844026i</v>
      </c>
      <c r="R83" s="4">
        <f t="shared" si="63"/>
        <v>1.98488463487892</v>
      </c>
      <c r="S83" s="4">
        <f t="shared" si="64"/>
        <v>1.04279528386358</v>
      </c>
      <c r="T83" s="4" t="str">
        <f t="shared" ref="T83:T146" si="107">IMSUM(COMPLEX(1,0),IMDIV(COMPLEX(0,2*PI()*O83),COMPLEX(wz_esr,0)))</f>
        <v>1+0,00440074218799665i</v>
      </c>
      <c r="U83" s="4">
        <f t="shared" si="65"/>
        <v>1.00000968321902</v>
      </c>
      <c r="V83" s="4">
        <f t="shared" si="66"/>
        <v>0.00440071377928891</v>
      </c>
      <c r="W83" t="str">
        <f t="shared" ref="W83:W146" si="108">IMSUB(COMPLEX(1,0),IMDIV(COMPLEX(0,2*PI()*O83),COMPLEX(wz_rhp,0)))</f>
        <v>1-0,0042098936747417i</v>
      </c>
      <c r="X83" s="4">
        <f t="shared" si="67"/>
        <v>1.00000886156311</v>
      </c>
      <c r="Y83" s="4">
        <f t="shared" si="68"/>
        <v>-0.00420986880407031</v>
      </c>
      <c r="Z83" t="str">
        <f t="shared" ref="Z83:Z146" si="109">IMSUM(COMPLEX(1,0),IMDIV(COMPLEX(0,2*PI()*O83),COMPLEX(Q*(wsl/2),0)),IMDIV(IMPOWER(COMPLEX(0,2*PI()*O83),2),IMPOWER(COMPLEX(wsl/2,0),2)))</f>
        <v>0,999999983712144+0,000872049404053637i</v>
      </c>
      <c r="AA83" s="4">
        <f t="shared" si="69"/>
        <v>1.00000036394716</v>
      </c>
      <c r="AB83" s="4">
        <f t="shared" si="70"/>
        <v>0.000872049197201691</v>
      </c>
      <c r="AC83" s="67" t="str">
        <f t="shared" si="71"/>
        <v>41,4867613765824-71,243630643914i</v>
      </c>
      <c r="AD83" s="68">
        <f t="shared" si="72"/>
        <v>38.3230489180005</v>
      </c>
      <c r="AE83" s="31">
        <f t="shared" si="73"/>
        <v>-59.7867987884358</v>
      </c>
      <c r="AF83" s="32" t="str">
        <f t="shared" si="74"/>
        <v>748,315388573934</v>
      </c>
      <c r="AG83" s="32" t="str">
        <f t="shared" ref="AG83:AG146" si="110">IMSUM(COMPLEX(1,0),IMDIV(COMPLEX(0,2*PI()*O83),COMPLEX(wp_lf_DCM,0)))</f>
        <v>1+1,39706101206243i</v>
      </c>
      <c r="AH83" s="32">
        <f t="shared" si="75"/>
        <v>1.7180743497954</v>
      </c>
      <c r="AI83" s="32">
        <f t="shared" si="76"/>
        <v>0.949552557693966</v>
      </c>
      <c r="AJ83" s="32" t="str">
        <f t="shared" ref="AJ83:AJ146" si="111">IMSUM(COMPLEX(1,0),IMDIV(COMPLEX(0,2*PI()*O83),COMPLEX(wz1_dcm,0)))</f>
        <v>1+0,00440074218799665i</v>
      </c>
      <c r="AK83" s="32">
        <f t="shared" si="77"/>
        <v>1.00000968321902</v>
      </c>
      <c r="AL83" s="32">
        <f t="shared" si="78"/>
        <v>0.00440071377928891</v>
      </c>
      <c r="AM83" s="32" t="str">
        <f t="shared" ref="AM83:AM146" si="112">IMSUB(COMPLEX(1,0),IMDIV(COMPLEX(0,2*PI()*O83),COMPLEX(wz2_dcm,0)))</f>
        <v>1-0,000750094274553817i</v>
      </c>
      <c r="AN83" s="32">
        <f t="shared" si="79"/>
        <v>1.00000028132067</v>
      </c>
      <c r="AO83" s="32">
        <f t="shared" si="80"/>
        <v>-0.000750094133875828</v>
      </c>
      <c r="AP83" s="30" t="str">
        <f t="shared" si="81"/>
        <v>254,807111305714-353,24924478957i</v>
      </c>
      <c r="AQ83" s="32">
        <f t="shared" si="82"/>
        <v>52.7809409953681</v>
      </c>
      <c r="AR83" s="31">
        <f t="shared" si="83"/>
        <v>-54.1961888834271</v>
      </c>
      <c r="AS83" t="str">
        <f t="shared" ref="AS83:AS146" si="113">COMPLEX(Adc_ea,0)</f>
        <v>-0,0000504684572142411</v>
      </c>
      <c r="AT83" t="str">
        <f t="shared" ref="AT83:AT146" si="114">COMPLEX(0,2*PI()*O83*wp0_ea)</f>
        <v>0,0000630642072476306i</v>
      </c>
      <c r="AU83">
        <f t="shared" si="84"/>
        <v>6.30642072476306e-5</v>
      </c>
      <c r="AV83">
        <f t="shared" si="85"/>
        <v>1.5707963267949</v>
      </c>
      <c r="AW83" t="str">
        <f t="shared" ref="AW83:AW146" si="115">IMSUM(COMPLEX(1,0),IMDIV(COMPLEX(0,2*PI()*O83),COMPLEX(wp1_ea,0)))</f>
        <v>1+0,00322877173986272i</v>
      </c>
      <c r="AX83">
        <f t="shared" si="86"/>
        <v>1.00000521246989</v>
      </c>
      <c r="AY83">
        <f t="shared" si="87"/>
        <v>0.00322876051998668</v>
      </c>
      <c r="AZ83" t="str">
        <f t="shared" ref="AZ83:AZ146" si="116">IMSUM(COMPLEX(1,0),IMDIV(COMPLEX(0,2*PI()*O83),COMPLEX(wz_ea,0)))</f>
        <v>1+0,154362768073862i</v>
      </c>
      <c r="BA83">
        <f t="shared" si="88"/>
        <v>1.01184379435139</v>
      </c>
      <c r="BB83">
        <f t="shared" si="89"/>
        <v>0.153153958562285</v>
      </c>
      <c r="BC83" s="30" t="str">
        <f t="shared" si="90"/>
        <v>-0,120946895947601+0,800661526029787i</v>
      </c>
      <c r="BD83" s="32">
        <f t="shared" si="91"/>
        <v>-1.83303406332963</v>
      </c>
      <c r="BE83" s="31">
        <f t="shared" si="92"/>
        <v>98.5900810904867</v>
      </c>
      <c r="BF83" s="30" t="str">
        <f t="shared" si="93"/>
        <v>52,0243390198422+41,8335496562269i</v>
      </c>
      <c r="BG83" s="68">
        <f t="shared" si="94"/>
        <v>36.4900148546709</v>
      </c>
      <c r="BH83" s="31">
        <f t="shared" si="95"/>
        <v>38.8032823020509</v>
      </c>
      <c r="BI83" s="30" t="str">
        <f t="shared" si="103"/>
        <v>252,014950224286+246,738650234408i</v>
      </c>
      <c r="BJ83" s="68">
        <f t="shared" si="97"/>
        <v>50.9479069320385</v>
      </c>
      <c r="BK83" s="31">
        <f t="shared" si="104"/>
        <v>44.3938922070597</v>
      </c>
      <c r="BL83" s="32">
        <f t="shared" si="99"/>
        <v>36.4900148546709</v>
      </c>
      <c r="BM83" s="31">
        <f t="shared" si="100"/>
        <v>38.8032823020509</v>
      </c>
      <c r="BO83">
        <f t="shared" si="101"/>
        <v>0</v>
      </c>
      <c r="BP83">
        <f t="shared" si="102"/>
        <v>0</v>
      </c>
    </row>
    <row r="84" spans="14:68">
      <c r="N84" s="7">
        <v>66</v>
      </c>
      <c r="O84" s="18">
        <f t="shared" ref="O84:O118" si="117">10^(1+(N84/100))</f>
        <v>45.7088189614875</v>
      </c>
      <c r="P84" s="86" t="str">
        <f t="shared" si="105"/>
        <v>163,636363636364</v>
      </c>
      <c r="Q84" s="4" t="str">
        <f t="shared" si="106"/>
        <v>1+1,75451245784854i</v>
      </c>
      <c r="R84" s="4">
        <f t="shared" ref="R84:R147" si="118">IMABS(Q84)</f>
        <v>2.01948358862996</v>
      </c>
      <c r="S84" s="4">
        <f t="shared" ref="S84:S147" si="119">IMARGUMENT(Q84)</f>
        <v>1.0527588160139</v>
      </c>
      <c r="T84" s="4" t="str">
        <f t="shared" si="107"/>
        <v>1+0,00450324864181125i</v>
      </c>
      <c r="U84" s="4">
        <f t="shared" ref="U84:U147" si="120">IMABS(T84)</f>
        <v>1.00001013957276</v>
      </c>
      <c r="V84" s="4">
        <f t="shared" ref="V84:V147" si="121">IMARGUMENT(T84)</f>
        <v>0.00450321820134914</v>
      </c>
      <c r="W84" t="str">
        <f t="shared" si="108"/>
        <v>1-0,00430795469561026i</v>
      </c>
      <c r="X84" s="4">
        <f t="shared" ref="X84:X147" si="122">IMABS(W84)</f>
        <v>1.00000927919378</v>
      </c>
      <c r="Y84" s="4">
        <f t="shared" ref="Y84:Y147" si="123">IMARGUMENT(W84)</f>
        <v>-0.00430792804621909</v>
      </c>
      <c r="Z84" t="str">
        <f t="shared" si="109"/>
        <v>0,999999982944521+0,000892362044090695i</v>
      </c>
      <c r="AA84" s="4">
        <f t="shared" ref="AA84:AA147" si="124">IMABS(Z84)</f>
        <v>1.00000038109946</v>
      </c>
      <c r="AB84" s="4">
        <f t="shared" ref="AB84:AB147" si="125">IMARGUMENT(Z84)</f>
        <v>0.000892361822444847</v>
      </c>
      <c r="AC84" s="67" t="str">
        <f t="shared" ref="AC84:AC147" si="126">(IMDIV(IMPRODUCT(P84,T84,W84),IMPRODUCT(Q84,Z84)))</f>
        <v>40,0752139414798-70,4265305464329i</v>
      </c>
      <c r="AD84" s="68">
        <f t="shared" ref="AD84:AD147" si="127">20*LOG(IMABS(AC84))</f>
        <v>38.1729551927899</v>
      </c>
      <c r="AE84" s="31">
        <f t="shared" ref="AE84:AE147" si="128">(180/PI())*IMARGUMENT(AC84)</f>
        <v>-60.3585762673415</v>
      </c>
      <c r="AF84" s="32" t="str">
        <f t="shared" ref="AF84:AF147" si="129">COMPLEX($B$68,0)</f>
        <v>748,315388573934</v>
      </c>
      <c r="AG84" s="32" t="str">
        <f t="shared" si="110"/>
        <v>1+1,42960274343214i</v>
      </c>
      <c r="AH84" s="32">
        <f t="shared" ref="AH84:AH147" si="130">IMABS(AG84)</f>
        <v>1.74463864568818</v>
      </c>
      <c r="AI84" s="32">
        <f t="shared" ref="AI84:AI147" si="131">IMARGUMENT(AG84)</f>
        <v>0.960409355383168</v>
      </c>
      <c r="AJ84" s="32" t="str">
        <f t="shared" si="111"/>
        <v>1+0,00450324864181125i</v>
      </c>
      <c r="AK84" s="32">
        <f t="shared" ref="AK84:AK147" si="132">IMABS(AJ84)</f>
        <v>1.00001013957276</v>
      </c>
      <c r="AL84" s="32">
        <f t="shared" ref="AL84:AL147" si="133">IMARGUMENT(AJ84)</f>
        <v>0.00450321820134914</v>
      </c>
      <c r="AM84" s="32" t="str">
        <f t="shared" si="112"/>
        <v>1-0,000767566214700837i</v>
      </c>
      <c r="AN84" s="32">
        <f t="shared" ref="AN84:AN147" si="134">IMABS(AM84)</f>
        <v>1.0000002945789</v>
      </c>
      <c r="AO84" s="32">
        <f t="shared" ref="AO84:AO147" si="135">IMARGUMENT(AM84)</f>
        <v>-0.000767566063961659</v>
      </c>
      <c r="AP84" s="30" t="str">
        <f t="shared" ref="AP84:AP147" si="136">(IMDIV(IMPRODUCT(AF84,AJ84,AM84),IMPRODUCT(AG84)))</f>
        <v>247,165806484457-350,553446385766i</v>
      </c>
      <c r="AQ84" s="32">
        <f t="shared" ref="AQ84:AQ147" si="137">20*LOG(IMABS(AP84))</f>
        <v>52.6476743878332</v>
      </c>
      <c r="AR84" s="31">
        <f t="shared" ref="AR84:AR147" si="138">(180/PI())*IMARGUMENT(AP84)</f>
        <v>-54.8133655671342</v>
      </c>
      <c r="AS84" t="str">
        <f t="shared" si="113"/>
        <v>-0,0000504684572142411</v>
      </c>
      <c r="AT84" t="str">
        <f t="shared" si="114"/>
        <v>0,0000645331613402415i</v>
      </c>
      <c r="AU84">
        <f t="shared" ref="AU84:AU147" si="139">IMABS(AT84)</f>
        <v>6.45331613402415e-5</v>
      </c>
      <c r="AV84">
        <f t="shared" ref="AV84:AV147" si="140">IMARGUMENT(AT84)</f>
        <v>1.5707963267949</v>
      </c>
      <c r="AW84" t="str">
        <f t="shared" si="115"/>
        <v>1+0,00330397949507566i</v>
      </c>
      <c r="AX84">
        <f t="shared" ref="AX84:AX147" si="141">IMABS(AW84)</f>
        <v>1.00000545812536</v>
      </c>
      <c r="AY84">
        <f t="shared" ref="AY84:AY147" si="142">IMARGUMENT(AW84)</f>
        <v>0.00330396747276542</v>
      </c>
      <c r="AZ84" t="str">
        <f t="shared" si="116"/>
        <v>1+0,157958338839042i</v>
      </c>
      <c r="BA84">
        <f t="shared" ref="BA84:BA147" si="143">IMABS(AZ84)</f>
        <v>1.01239855630517</v>
      </c>
      <c r="BB84">
        <f t="shared" ref="BB84:BB147" si="144">IMARGUMENT(AZ84)</f>
        <v>0.156663931295254</v>
      </c>
      <c r="BC84" s="30" t="str">
        <f t="shared" ref="BC84:BC147" si="145">IMPRODUCT(AS84,IMDIV(AZ84,IMPRODUCT(AT84,AW84)))</f>
        <v>-0,120946836525401+0,782454229662819i</v>
      </c>
      <c r="BD84" s="32">
        <f t="shared" ref="BD84:BD147" si="146">20*LOG(IMABS(BC84))</f>
        <v>-2.02827530345403</v>
      </c>
      <c r="BE84" s="31">
        <f t="shared" ref="BE84:BE147" si="147">(180/PI())*IMARGUMENT(BC84)</f>
        <v>98.7868786733076</v>
      </c>
      <c r="BF84" s="30" t="str">
        <f t="shared" ref="BF84:BF147" si="148">IMPRODUCT(AC84,BC84)</f>
        <v>50,2585663572335+39,8748867302038i</v>
      </c>
      <c r="BG84" s="68">
        <f t="shared" ref="BG84:BG147" si="149">20*LOG(IMABS(BF84))</f>
        <v>36.1446798893359</v>
      </c>
      <c r="BH84" s="31">
        <f t="shared" ref="BH84:BH147" si="150">(180/PI())*IMARGUMENT(BF84)</f>
        <v>38.4283024059661</v>
      </c>
      <c r="BI84" s="30" t="str">
        <f t="shared" si="103"/>
        <v>244,398104455876+235,79426108522i</v>
      </c>
      <c r="BJ84" s="68">
        <f t="shared" ref="BJ84:BJ147" si="151">20*LOG(IMABS(BI84))</f>
        <v>50.6193990843791</v>
      </c>
      <c r="BK84" s="31">
        <f t="shared" si="104"/>
        <v>43.9735131061734</v>
      </c>
      <c r="BL84" s="32">
        <f t="shared" ref="BL84:BL147" si="152">IF($B$31=0,BJ84,BG84)</f>
        <v>36.1446798893359</v>
      </c>
      <c r="BM84" s="31">
        <f t="shared" ref="BM84:BM147" si="153">IF($B$31=0,BK84,BH84)</f>
        <v>38.4283024059661</v>
      </c>
      <c r="BO84">
        <f t="shared" ref="BO84:BO147" si="154">SUM((BL85&lt;0)*(BL84&gt;0))*O84</f>
        <v>0</v>
      </c>
      <c r="BP84">
        <f t="shared" ref="BP84:BP147" si="155">IF(BO84&gt;0,BM84,0)</f>
        <v>0</v>
      </c>
    </row>
    <row r="85" spans="14:68">
      <c r="N85" s="7">
        <v>67</v>
      </c>
      <c r="O85" s="18">
        <f t="shared" si="117"/>
        <v>46.7735141287198</v>
      </c>
      <c r="P85" s="86" t="str">
        <f t="shared" si="105"/>
        <v>163,636363636364</v>
      </c>
      <c r="Q85" s="4" t="str">
        <f t="shared" si="106"/>
        <v>1+1,79538030298569i</v>
      </c>
      <c r="R85" s="4">
        <f t="shared" si="118"/>
        <v>2.05508891105689</v>
      </c>
      <c r="S85" s="4">
        <f t="shared" si="119"/>
        <v>1.06260613063548</v>
      </c>
      <c r="T85" s="4" t="str">
        <f t="shared" si="107"/>
        <v>1+0,00460814277766327i</v>
      </c>
      <c r="U85" s="4">
        <f t="shared" si="120"/>
        <v>1.00001061743356</v>
      </c>
      <c r="V85" s="4">
        <f t="shared" si="121"/>
        <v>0.00460811016013916</v>
      </c>
      <c r="W85" t="str">
        <f t="shared" si="108"/>
        <v>1-0,00440829985108094i</v>
      </c>
      <c r="X85" s="4">
        <f t="shared" si="122"/>
        <v>1.00000971650658</v>
      </c>
      <c r="Y85" s="4">
        <f t="shared" si="123"/>
        <v>-0.00440827129575881</v>
      </c>
      <c r="Z85" t="str">
        <f t="shared" si="109"/>
        <v>0,999999982140721+0,000913147826295337i</v>
      </c>
      <c r="AA85" s="4">
        <f t="shared" si="124"/>
        <v>1.00000039906012</v>
      </c>
      <c r="AB85" s="4">
        <f t="shared" si="125"/>
        <v>0.000913147588797537</v>
      </c>
      <c r="AC85" s="67" t="str">
        <f t="shared" si="126"/>
        <v>38,6964027915723-69,5914849311797i</v>
      </c>
      <c r="AD85" s="68">
        <f t="shared" si="127"/>
        <v>38.0211572327796</v>
      </c>
      <c r="AE85" s="31">
        <f t="shared" si="128"/>
        <v>-60.9237161495389</v>
      </c>
      <c r="AF85" s="32" t="str">
        <f t="shared" si="129"/>
        <v>748,315388573934</v>
      </c>
      <c r="AG85" s="32" t="str">
        <f t="shared" si="110"/>
        <v>1+1,46290246909945i</v>
      </c>
      <c r="AH85" s="32">
        <f t="shared" si="130"/>
        <v>1.77202811323559</v>
      </c>
      <c r="AI85" s="32">
        <f t="shared" si="131"/>
        <v>0.971180775320308</v>
      </c>
      <c r="AJ85" s="32" t="str">
        <f t="shared" si="111"/>
        <v>1+0,00460814277766327i</v>
      </c>
      <c r="AK85" s="32">
        <f t="shared" si="132"/>
        <v>1.00001061743356</v>
      </c>
      <c r="AL85" s="32">
        <f t="shared" si="133"/>
        <v>0.00460811016013916</v>
      </c>
      <c r="AM85" s="32" t="str">
        <f t="shared" si="112"/>
        <v>1-0,000785445128614831i</v>
      </c>
      <c r="AN85" s="32">
        <f t="shared" si="134"/>
        <v>1.00000030846198</v>
      </c>
      <c r="AO85" s="32">
        <f t="shared" si="135"/>
        <v>-0.000785444967094894</v>
      </c>
      <c r="AP85" s="30" t="str">
        <f t="shared" si="136"/>
        <v>239,644206771722-347,715518315082i</v>
      </c>
      <c r="AQ85" s="32">
        <f t="shared" si="137"/>
        <v>52.5123762722754</v>
      </c>
      <c r="AR85" s="31">
        <f t="shared" si="138"/>
        <v>-55.4255369880436</v>
      </c>
      <c r="AS85" t="str">
        <f t="shared" si="113"/>
        <v>-0,0000504684572142411</v>
      </c>
      <c r="AT85" t="str">
        <f t="shared" si="114"/>
        <v>0,0000660363317691924i</v>
      </c>
      <c r="AU85">
        <f t="shared" si="139"/>
        <v>6.60363317691924e-5</v>
      </c>
      <c r="AV85">
        <f t="shared" si="140"/>
        <v>1.5707963267949</v>
      </c>
      <c r="AW85" t="str">
        <f t="shared" si="115"/>
        <v>1+0,00338093906395022i</v>
      </c>
      <c r="AX85">
        <f t="shared" si="141"/>
        <v>1.00000571535814</v>
      </c>
      <c r="AY85">
        <f t="shared" si="142"/>
        <v>0.00338092618181668</v>
      </c>
      <c r="AZ85" t="str">
        <f t="shared" si="116"/>
        <v>1+0,161637661206301i</v>
      </c>
      <c r="BA85">
        <f t="shared" si="143"/>
        <v>1.01297913775173</v>
      </c>
      <c r="BB85">
        <f t="shared" si="144"/>
        <v>0.160251636527181</v>
      </c>
      <c r="BC85" s="30" t="str">
        <f t="shared" si="145"/>
        <v>-0,120946774302781+0,764661800866912i</v>
      </c>
      <c r="BD85" s="32">
        <f t="shared" si="146"/>
        <v>-2.22329785762744</v>
      </c>
      <c r="BE85" s="31">
        <f t="shared" si="147"/>
        <v>98.9880296320087</v>
      </c>
      <c r="BF85" s="30" t="str">
        <f t="shared" si="148"/>
        <v>48,5337450977166+38,0065266670419i</v>
      </c>
      <c r="BG85" s="68">
        <f t="shared" si="149"/>
        <v>35.7978593751521</v>
      </c>
      <c r="BH85" s="31">
        <f t="shared" si="150"/>
        <v>38.0643134824698</v>
      </c>
      <c r="BI85" s="30" t="str">
        <f t="shared" si="103"/>
        <v>236,900580634794+225,301841032616i</v>
      </c>
      <c r="BJ85" s="68">
        <f t="shared" si="151"/>
        <v>50.2890784146479</v>
      </c>
      <c r="BK85" s="31">
        <f t="shared" si="104"/>
        <v>43.562492643965</v>
      </c>
      <c r="BL85" s="32">
        <f t="shared" si="152"/>
        <v>35.7978593751521</v>
      </c>
      <c r="BM85" s="31">
        <f t="shared" si="153"/>
        <v>38.0643134824698</v>
      </c>
      <c r="BO85">
        <f t="shared" si="154"/>
        <v>0</v>
      </c>
      <c r="BP85">
        <f t="shared" si="155"/>
        <v>0</v>
      </c>
    </row>
    <row r="86" spans="14:68">
      <c r="N86" s="7">
        <v>68</v>
      </c>
      <c r="O86" s="18">
        <f t="shared" si="117"/>
        <v>47.8630092322639</v>
      </c>
      <c r="P86" s="86" t="str">
        <f t="shared" si="105"/>
        <v>163,636363636364</v>
      </c>
      <c r="Q86" s="4" t="str">
        <f t="shared" si="106"/>
        <v>1+1,83720008252416i</v>
      </c>
      <c r="R86" s="4">
        <f t="shared" si="118"/>
        <v>2.09172276920886</v>
      </c>
      <c r="S86" s="4">
        <f t="shared" si="119"/>
        <v>1.07233480909969</v>
      </c>
      <c r="T86" s="4" t="str">
        <f t="shared" si="107"/>
        <v>1+0,004715480211812i</v>
      </c>
      <c r="U86" s="4">
        <f t="shared" si="120"/>
        <v>1.00001111781501</v>
      </c>
      <c r="V86" s="4">
        <f t="shared" si="121"/>
        <v>0.00471544526152621</v>
      </c>
      <c r="W86" t="str">
        <f t="shared" si="108"/>
        <v>1-0,00451098234548342i</v>
      </c>
      <c r="X86" s="4">
        <f t="shared" si="122"/>
        <v>1.0000101744291</v>
      </c>
      <c r="Y86" s="4">
        <f t="shared" si="123"/>
        <v>-0.0045109517479213</v>
      </c>
      <c r="Z86" t="str">
        <f t="shared" si="109"/>
        <v>0,99999998129904+0,000934417771564422i</v>
      </c>
      <c r="AA86" s="4">
        <f t="shared" si="124"/>
        <v>1.00000041786724</v>
      </c>
      <c r="AB86" s="4">
        <f t="shared" si="125"/>
        <v>0.000934417517080949</v>
      </c>
      <c r="AC86" s="67" t="str">
        <f t="shared" si="126"/>
        <v>37,350613101012-68,7399940638526i</v>
      </c>
      <c r="AD86" s="68">
        <f t="shared" si="127"/>
        <v>37.8676952325601</v>
      </c>
      <c r="AE86" s="31">
        <f t="shared" si="128"/>
        <v>-61.4820803511433</v>
      </c>
      <c r="AF86" s="32" t="str">
        <f t="shared" si="129"/>
        <v>748,315388573934</v>
      </c>
      <c r="AG86" s="32" t="str">
        <f t="shared" si="110"/>
        <v>1+1,49697784501968i</v>
      </c>
      <c r="AH86" s="32">
        <f t="shared" si="130"/>
        <v>1.80026183331197</v>
      </c>
      <c r="AI86" s="32">
        <f t="shared" si="131"/>
        <v>0.981862530810841</v>
      </c>
      <c r="AJ86" s="32" t="str">
        <f t="shared" si="111"/>
        <v>1+0,004715480211812i</v>
      </c>
      <c r="AK86" s="32">
        <f t="shared" si="132"/>
        <v>1.00001111781501</v>
      </c>
      <c r="AL86" s="32">
        <f t="shared" si="133"/>
        <v>0.00471544526152621</v>
      </c>
      <c r="AM86" s="32" t="str">
        <f t="shared" si="112"/>
        <v>1-0,000803740495932613i</v>
      </c>
      <c r="AN86" s="32">
        <f t="shared" si="134"/>
        <v>1.00000032299934</v>
      </c>
      <c r="AO86" s="32">
        <f t="shared" si="135"/>
        <v>-0.000803740322860885</v>
      </c>
      <c r="AP86" s="30" t="str">
        <f t="shared" si="136"/>
        <v>232,247305102702-344,741855278783i</v>
      </c>
      <c r="AQ86" s="32">
        <f t="shared" si="137"/>
        <v>52.3750794132356</v>
      </c>
      <c r="AR86" s="31">
        <f t="shared" si="138"/>
        <v>-56.032454893809</v>
      </c>
      <c r="AS86" t="str">
        <f t="shared" si="113"/>
        <v>-0,0000504684572142411</v>
      </c>
      <c r="AT86" t="str">
        <f t="shared" si="114"/>
        <v>0,0000675745155353417i</v>
      </c>
      <c r="AU86">
        <f t="shared" si="139"/>
        <v>6.75745155353417e-5</v>
      </c>
      <c r="AV86">
        <f t="shared" si="140"/>
        <v>1.5707963267949</v>
      </c>
      <c r="AW86" t="str">
        <f t="shared" si="115"/>
        <v>1+0,00345969125146852i</v>
      </c>
      <c r="AX86">
        <f t="shared" si="141"/>
        <v>1.00000598471387</v>
      </c>
      <c r="AY86">
        <f t="shared" si="142"/>
        <v>0.0034596774480182</v>
      </c>
      <c r="AZ86" t="str">
        <f t="shared" si="116"/>
        <v>1+0,165402686001058i</v>
      </c>
      <c r="BA86">
        <f t="shared" si="143"/>
        <v>1.01358672472382</v>
      </c>
      <c r="BB86">
        <f t="shared" si="144"/>
        <v>0.163918606881541</v>
      </c>
      <c r="BC86" s="30" t="str">
        <f t="shared" si="145"/>
        <v>-0,120946709147766+0,747274805859486i</v>
      </c>
      <c r="BD86" s="32">
        <f t="shared" si="146"/>
        <v>-2.41809194452688</v>
      </c>
      <c r="BE86" s="31">
        <f t="shared" si="147"/>
        <v>99.1936194417283</v>
      </c>
      <c r="BF86" s="30" t="str">
        <f t="shared" si="148"/>
        <v>46,8502319796288+36,2250482226515i</v>
      </c>
      <c r="BG86" s="68">
        <f t="shared" si="149"/>
        <v>35.4496032880332</v>
      </c>
      <c r="BH86" s="31">
        <f t="shared" si="150"/>
        <v>37.7115390905851</v>
      </c>
      <c r="BI86" s="30" t="str">
        <f t="shared" si="103"/>
        <v>229,527355714483+215,247952733475i</v>
      </c>
      <c r="BJ86" s="68">
        <f t="shared" si="151"/>
        <v>49.9569874687087</v>
      </c>
      <c r="BK86" s="31">
        <f t="shared" si="104"/>
        <v>43.1611645479194</v>
      </c>
      <c r="BL86" s="32">
        <f t="shared" si="152"/>
        <v>35.4496032880332</v>
      </c>
      <c r="BM86" s="31">
        <f t="shared" si="153"/>
        <v>37.7115390905851</v>
      </c>
      <c r="BO86">
        <f t="shared" si="154"/>
        <v>0</v>
      </c>
      <c r="BP86">
        <f t="shared" si="155"/>
        <v>0</v>
      </c>
    </row>
    <row r="87" spans="14:68">
      <c r="N87" s="7">
        <v>69</v>
      </c>
      <c r="O87" s="18">
        <f t="shared" si="117"/>
        <v>48.9778819368446</v>
      </c>
      <c r="P87" s="86" t="str">
        <f t="shared" si="105"/>
        <v>163,636363636364</v>
      </c>
      <c r="Q87" s="4" t="str">
        <f t="shared" si="106"/>
        <v>1+1,87999396986459i</v>
      </c>
      <c r="R87" s="4">
        <f t="shared" si="118"/>
        <v>2.12940774083481</v>
      </c>
      <c r="S87" s="4">
        <f t="shared" si="119"/>
        <v>1.0819426425998</v>
      </c>
      <c r="T87" s="4" t="str">
        <f t="shared" si="107"/>
        <v>1+0,00482531785598578i</v>
      </c>
      <c r="U87" s="4">
        <f t="shared" si="120"/>
        <v>1.00001164177844</v>
      </c>
      <c r="V87" s="4">
        <f t="shared" si="121"/>
        <v>0.00482528040610338</v>
      </c>
      <c r="W87" t="str">
        <f t="shared" si="108"/>
        <v>1-0,00461605662243538i</v>
      </c>
      <c r="X87" s="4">
        <f t="shared" si="122"/>
        <v>1.00001065393262</v>
      </c>
      <c r="Y87" s="4">
        <f t="shared" si="123"/>
        <v>-0.00461602383657575</v>
      </c>
      <c r="Z87" t="str">
        <f t="shared" si="109"/>
        <v>0,99999998041769+0,00095618315750447i</v>
      </c>
      <c r="AA87" s="4">
        <f t="shared" si="124"/>
        <v>1.00000043756071</v>
      </c>
      <c r="AB87" s="4">
        <f t="shared" si="125"/>
        <v>0.000956182884820523</v>
      </c>
      <c r="AC87" s="67" t="str">
        <f t="shared" si="126"/>
        <v>36,0380482394147-67,8735403421738i</v>
      </c>
      <c r="AD87" s="68">
        <f t="shared" si="127"/>
        <v>37.7126096856263</v>
      </c>
      <c r="AE87" s="31">
        <f t="shared" si="128"/>
        <v>-62.0335428216735</v>
      </c>
      <c r="AF87" s="32" t="str">
        <f t="shared" si="129"/>
        <v>748,315388573934</v>
      </c>
      <c r="AG87" s="32" t="str">
        <f t="shared" si="110"/>
        <v>1+1,53184693840818i</v>
      </c>
      <c r="AH87" s="32">
        <f t="shared" si="130"/>
        <v>1.82935918909068</v>
      </c>
      <c r="AI87" s="32">
        <f t="shared" si="131"/>
        <v>0.992450535127527</v>
      </c>
      <c r="AJ87" s="32" t="str">
        <f t="shared" si="111"/>
        <v>1+0,00482531785598578i</v>
      </c>
      <c r="AK87" s="32">
        <f t="shared" si="132"/>
        <v>1.00001164177844</v>
      </c>
      <c r="AL87" s="32">
        <f t="shared" si="133"/>
        <v>0.00482528040610338</v>
      </c>
      <c r="AM87" s="32" t="str">
        <f t="shared" si="112"/>
        <v>1-0,000822462017100099i</v>
      </c>
      <c r="AN87" s="32">
        <f t="shared" si="134"/>
        <v>1.00000033822183</v>
      </c>
      <c r="AO87" s="32">
        <f t="shared" si="135"/>
        <v>-0.000822461831650405</v>
      </c>
      <c r="AP87" s="30" t="str">
        <f t="shared" si="136"/>
        <v>224,979670427939-341,639020726639i</v>
      </c>
      <c r="AQ87" s="32">
        <f t="shared" si="137"/>
        <v>52.235817856926</v>
      </c>
      <c r="AR87" s="31">
        <f t="shared" si="138"/>
        <v>-56.6338824278346</v>
      </c>
      <c r="AS87" t="str">
        <f t="shared" si="113"/>
        <v>-0,0000504684572142411</v>
      </c>
      <c r="AT87" t="str">
        <f t="shared" si="114"/>
        <v>0,000069148528204082i</v>
      </c>
      <c r="AU87">
        <f t="shared" si="139"/>
        <v>6.9148528204082e-5</v>
      </c>
      <c r="AV87">
        <f t="shared" si="140"/>
        <v>1.5707963267949</v>
      </c>
      <c r="AW87" t="str">
        <f t="shared" si="115"/>
        <v>1+0,00354027781308276i</v>
      </c>
      <c r="AX87">
        <f t="shared" si="141"/>
        <v>1.00000626676386</v>
      </c>
      <c r="AY87">
        <f t="shared" si="142"/>
        <v>0.00354026302242427</v>
      </c>
      <c r="AZ87" t="str">
        <f t="shared" si="116"/>
        <v>1+0,169255409489297i</v>
      </c>
      <c r="BA87">
        <f t="shared" si="143"/>
        <v>1.01422255626731</v>
      </c>
      <c r="BB87">
        <f t="shared" si="144"/>
        <v>0.167666391966108</v>
      </c>
      <c r="BC87" s="30" t="str">
        <f t="shared" si="145"/>
        <v>-0,120946640922167+0,730284025824229i</v>
      </c>
      <c r="BD87" s="32">
        <f t="shared" si="146"/>
        <v>-2.61264737047977</v>
      </c>
      <c r="BE87" s="31">
        <f t="shared" si="147"/>
        <v>99.403734496293</v>
      </c>
      <c r="BF87" s="30" t="str">
        <f t="shared" si="148"/>
        <v>45,2082814080777+34,5270876630086i</v>
      </c>
      <c r="BG87" s="68">
        <f t="shared" si="149"/>
        <v>35.0999623151465</v>
      </c>
      <c r="BH87" s="31">
        <f t="shared" si="150"/>
        <v>37.3701916746194</v>
      </c>
      <c r="BI87" s="30" t="str">
        <f t="shared" si="103"/>
        <v>222,282984020862+205,619151413549i</v>
      </c>
      <c r="BJ87" s="68">
        <f t="shared" si="151"/>
        <v>49.6231704864463</v>
      </c>
      <c r="BK87" s="31">
        <f t="shared" si="104"/>
        <v>42.7698520684583</v>
      </c>
      <c r="BL87" s="32">
        <f t="shared" si="152"/>
        <v>35.0999623151465</v>
      </c>
      <c r="BM87" s="31">
        <f t="shared" si="153"/>
        <v>37.3701916746194</v>
      </c>
      <c r="BO87">
        <f t="shared" si="154"/>
        <v>0</v>
      </c>
      <c r="BP87">
        <f t="shared" si="155"/>
        <v>0</v>
      </c>
    </row>
    <row r="88" spans="14:68">
      <c r="N88" s="7">
        <v>70</v>
      </c>
      <c r="O88" s="18">
        <f t="shared" si="117"/>
        <v>50.1187233627272</v>
      </c>
      <c r="P88" s="86" t="str">
        <f t="shared" si="105"/>
        <v>163,636363636364</v>
      </c>
      <c r="Q88" s="4" t="str">
        <f t="shared" si="106"/>
        <v>1+1,92378465489251i</v>
      </c>
      <c r="R88" s="4">
        <f t="shared" si="118"/>
        <v>2.16816682900553</v>
      </c>
      <c r="S88" s="4">
        <f t="shared" si="119"/>
        <v>1.09142762930767</v>
      </c>
      <c r="T88" s="4" t="str">
        <f t="shared" si="107"/>
        <v>1+0,00493771394755745i</v>
      </c>
      <c r="U88" s="4">
        <f t="shared" si="120"/>
        <v>1.00001219043521</v>
      </c>
      <c r="V88" s="4">
        <f t="shared" si="121"/>
        <v>0.0049376738193119</v>
      </c>
      <c r="W88" t="str">
        <f t="shared" si="108"/>
        <v>1-0,0047235783937093i</v>
      </c>
      <c r="X88" s="4">
        <f t="shared" si="122"/>
        <v>1.00001115603419</v>
      </c>
      <c r="Y88" s="4">
        <f t="shared" si="123"/>
        <v>-0.00472354326304893</v>
      </c>
      <c r="Z88" t="str">
        <f t="shared" si="109"/>
        <v>0,999999979494805+0,00097845552441121i</v>
      </c>
      <c r="AA88" s="4">
        <f t="shared" si="124"/>
        <v>1.00000045818231</v>
      </c>
      <c r="AB88" s="4">
        <f t="shared" si="125"/>
        <v>0.000978455232225103</v>
      </c>
      <c r="AC88" s="67" t="str">
        <f t="shared" si="126"/>
        <v>34,7588329786614-66,9935836674382i</v>
      </c>
      <c r="AD88" s="68">
        <f t="shared" si="127"/>
        <v>37.5559412864016</v>
      </c>
      <c r="AE88" s="31">
        <f t="shared" si="128"/>
        <v>-62.5779893814084</v>
      </c>
      <c r="AF88" s="32" t="str">
        <f t="shared" si="129"/>
        <v>748,315388573934</v>
      </c>
      <c r="AG88" s="32" t="str">
        <f t="shared" si="110"/>
        <v>1+1,56752823731982i</v>
      </c>
      <c r="AH88" s="32">
        <f t="shared" si="130"/>
        <v>1.85933987608371</v>
      </c>
      <c r="AI88" s="32">
        <f t="shared" si="131"/>
        <v>1.0029409062227</v>
      </c>
      <c r="AJ88" s="32" t="str">
        <f t="shared" si="111"/>
        <v>1+0,00493771394755745i</v>
      </c>
      <c r="AK88" s="32">
        <f t="shared" si="132"/>
        <v>1.00001219043521</v>
      </c>
      <c r="AL88" s="32">
        <f t="shared" si="133"/>
        <v>0.0049376738193119</v>
      </c>
      <c r="AM88" s="32" t="str">
        <f t="shared" si="112"/>
        <v>1-0,000841619618515627i</v>
      </c>
      <c r="AN88" s="32">
        <f t="shared" si="134"/>
        <v>1.00000035416173</v>
      </c>
      <c r="AO88" s="32">
        <f t="shared" si="135"/>
        <v>-0.000841619419802704</v>
      </c>
      <c r="AP88" s="30" t="str">
        <f t="shared" si="136"/>
        <v>217,845444311864-338,413714910856i</v>
      </c>
      <c r="AQ88" s="32">
        <f t="shared" si="137"/>
        <v>52.0946268171198</v>
      </c>
      <c r="AR88" s="31">
        <f t="shared" si="138"/>
        <v>-57.2295943978387</v>
      </c>
      <c r="AS88" t="str">
        <f t="shared" si="113"/>
        <v>-0,0000504684572142411</v>
      </c>
      <c r="AT88" t="str">
        <f t="shared" si="114"/>
        <v>0,0000707592043377651i</v>
      </c>
      <c r="AU88">
        <f t="shared" si="139"/>
        <v>7.07592043377651e-5</v>
      </c>
      <c r="AV88">
        <f t="shared" si="140"/>
        <v>1.5707963267949</v>
      </c>
      <c r="AW88" t="str">
        <f t="shared" si="115"/>
        <v>1+0,00362274147685463i</v>
      </c>
      <c r="AX88">
        <f t="shared" si="141"/>
        <v>1.00000656210637</v>
      </c>
      <c r="AY88">
        <f t="shared" si="142"/>
        <v>0.00362272562838414</v>
      </c>
      <c r="AZ88" t="str">
        <f t="shared" si="116"/>
        <v>1+0,173197874436007i</v>
      </c>
      <c r="BA88">
        <f t="shared" si="143"/>
        <v>1.01488792667425</v>
      </c>
      <c r="BB88">
        <f t="shared" si="144"/>
        <v>0.171496557565895</v>
      </c>
      <c r="BC88" s="30" t="str">
        <f t="shared" si="145"/>
        <v>-0,120946569481277+0,713680452023144i</v>
      </c>
      <c r="BD88" s="32">
        <f t="shared" si="146"/>
        <v>-2.80695351443364</v>
      </c>
      <c r="BE88" s="31">
        <f t="shared" si="147"/>
        <v>99.6184620607079</v>
      </c>
      <c r="BF88" s="30" t="str">
        <f t="shared" si="148"/>
        <v>43,6080494664858+32,9093437538416i</v>
      </c>
      <c r="BG88" s="68">
        <f t="shared" si="149"/>
        <v>34.748987771968</v>
      </c>
      <c r="BH88" s="31">
        <f t="shared" si="150"/>
        <v>37.0404726792994</v>
      </c>
      <c r="BI88" s="30" t="str">
        <f t="shared" si="103"/>
        <v>215,171593861767+196,402013051557i</v>
      </c>
      <c r="BJ88" s="68">
        <f t="shared" si="151"/>
        <v>49.2876733026862</v>
      </c>
      <c r="BK88" s="31">
        <f t="shared" si="104"/>
        <v>42.3888676628691</v>
      </c>
      <c r="BL88" s="32">
        <f t="shared" si="152"/>
        <v>34.748987771968</v>
      </c>
      <c r="BM88" s="31">
        <f t="shared" si="153"/>
        <v>37.0404726792994</v>
      </c>
      <c r="BO88">
        <f t="shared" si="154"/>
        <v>0</v>
      </c>
      <c r="BP88">
        <f t="shared" si="155"/>
        <v>0</v>
      </c>
    </row>
    <row r="89" spans="14:68">
      <c r="N89" s="7">
        <v>71</v>
      </c>
      <c r="O89" s="18">
        <f t="shared" si="117"/>
        <v>51.2861383991365</v>
      </c>
      <c r="P89" s="86" t="str">
        <f t="shared" si="105"/>
        <v>163,636363636364</v>
      </c>
      <c r="Q89" s="4" t="str">
        <f t="shared" si="106"/>
        <v>1+1,96859535600876i</v>
      </c>
      <c r="R89" s="4">
        <f t="shared" si="118"/>
        <v>2.20802347716216</v>
      </c>
      <c r="S89" s="4">
        <f t="shared" si="119"/>
        <v>1.10078797090637</v>
      </c>
      <c r="T89" s="4" t="str">
        <f t="shared" si="107"/>
        <v>1+0,00505272808042247i</v>
      </c>
      <c r="U89" s="4">
        <f t="shared" si="120"/>
        <v>1.00001276494906</v>
      </c>
      <c r="V89" s="4">
        <f t="shared" si="121"/>
        <v>0.00505268508226232</v>
      </c>
      <c r="W89" t="str">
        <f t="shared" si="108"/>
        <v>1-0,0048336046687715i</v>
      </c>
      <c r="X89" s="4">
        <f t="shared" si="122"/>
        <v>1.00001168179881</v>
      </c>
      <c r="Y89" s="4">
        <f t="shared" si="123"/>
        <v>-0.00483356702561446</v>
      </c>
      <c r="Z89" t="str">
        <f t="shared" si="109"/>
        <v>0,999999978528425+0,00100124668138838i</v>
      </c>
      <c r="AA89" s="4">
        <f t="shared" si="124"/>
        <v>1.00000047977577</v>
      </c>
      <c r="AB89" s="4">
        <f t="shared" si="125"/>
        <v>0.00100124636830533</v>
      </c>
      <c r="AC89" s="67" t="str">
        <f t="shared" si="126"/>
        <v>33,5130169409396-66,1015572029662i</v>
      </c>
      <c r="AD89" s="68">
        <f t="shared" si="127"/>
        <v>37.3977308363344</v>
      </c>
      <c r="AE89" s="31">
        <f t="shared" si="128"/>
        <v>-63.1153175230004</v>
      </c>
      <c r="AF89" s="32" t="str">
        <f t="shared" si="129"/>
        <v>748,315388573934</v>
      </c>
      <c r="AG89" s="32" t="str">
        <f t="shared" si="110"/>
        <v>1+1,60404066045158i</v>
      </c>
      <c r="AH89" s="32">
        <f t="shared" si="130"/>
        <v>1.89022391276323</v>
      </c>
      <c r="AI89" s="32">
        <f t="shared" si="131"/>
        <v>1.01332997046214</v>
      </c>
      <c r="AJ89" s="32" t="str">
        <f t="shared" si="111"/>
        <v>1+0,00505272808042247i</v>
      </c>
      <c r="AK89" s="32">
        <f t="shared" si="132"/>
        <v>1.00001276494906</v>
      </c>
      <c r="AL89" s="32">
        <f t="shared" si="133"/>
        <v>0.00505268508226232</v>
      </c>
      <c r="AM89" s="32" t="str">
        <f t="shared" si="112"/>
        <v>1-0,000861223457793042i</v>
      </c>
      <c r="AN89" s="32">
        <f t="shared" si="134"/>
        <v>1.00000037085285</v>
      </c>
      <c r="AO89" s="32">
        <f t="shared" si="135"/>
        <v>-0.000861223244868313</v>
      </c>
      <c r="AP89" s="30" t="str">
        <f t="shared" si="136"/>
        <v>210,848340192093-335,072743446452i</v>
      </c>
      <c r="AQ89" s="32">
        <f t="shared" si="137"/>
        <v>51.9515425604892</v>
      </c>
      <c r="AR89" s="31">
        <f t="shared" si="138"/>
        <v>-57.8193774883239</v>
      </c>
      <c r="AS89" t="str">
        <f t="shared" si="113"/>
        <v>-0,0000504684572142411</v>
      </c>
      <c r="AT89" t="str">
        <f t="shared" si="114"/>
        <v>0,0000724073979381971i</v>
      </c>
      <c r="AU89">
        <f t="shared" si="139"/>
        <v>7.24073979381971e-5</v>
      </c>
      <c r="AV89">
        <f t="shared" si="140"/>
        <v>1.5707963267949</v>
      </c>
      <c r="AW89" t="str">
        <f t="shared" si="115"/>
        <v>1+0,00370712596611017i</v>
      </c>
      <c r="AX89">
        <f t="shared" si="141"/>
        <v>1.00000687136786</v>
      </c>
      <c r="AY89">
        <f t="shared" si="142"/>
        <v>0.00370710898417438</v>
      </c>
      <c r="AZ89" t="str">
        <f t="shared" si="116"/>
        <v>1+0,177232171188288i</v>
      </c>
      <c r="BA89">
        <f t="shared" si="143"/>
        <v>1.01558418779741</v>
      </c>
      <c r="BB89">
        <f t="shared" si="144"/>
        <v>0.175410684746759</v>
      </c>
      <c r="BC89" s="30" t="str">
        <f t="shared" si="145"/>
        <v>-0,120946494673572+0,697455281019994i</v>
      </c>
      <c r="BD89" s="32">
        <f t="shared" si="146"/>
        <v>-3.00099931260156</v>
      </c>
      <c r="BE89" s="31">
        <f t="shared" si="147"/>
        <v>99.8378902185009</v>
      </c>
      <c r="BF89" s="30" t="str">
        <f t="shared" si="148"/>
        <v>42,0495982299113+31,3685822845342i</v>
      </c>
      <c r="BG89" s="68">
        <f t="shared" si="149"/>
        <v>34.3967315237328</v>
      </c>
      <c r="BH89" s="31">
        <f t="shared" si="150"/>
        <v>36.7225726955005</v>
      </c>
      <c r="BI89" s="30" t="str">
        <f t="shared" si="103"/>
        <v>208,196886788611+187,583162141781i</v>
      </c>
      <c r="BJ89" s="68">
        <f t="shared" si="151"/>
        <v>48.9505432478876</v>
      </c>
      <c r="BK89" s="31">
        <f t="shared" si="104"/>
        <v>42.018512730177</v>
      </c>
      <c r="BL89" s="32">
        <f t="shared" si="152"/>
        <v>34.3967315237328</v>
      </c>
      <c r="BM89" s="31">
        <f t="shared" si="153"/>
        <v>36.7225726955005</v>
      </c>
      <c r="BO89">
        <f t="shared" si="154"/>
        <v>0</v>
      </c>
      <c r="BP89">
        <f t="shared" si="155"/>
        <v>0</v>
      </c>
    </row>
    <row r="90" spans="14:68">
      <c r="N90" s="7">
        <v>72</v>
      </c>
      <c r="O90" s="18">
        <f t="shared" si="117"/>
        <v>52.4807460249773</v>
      </c>
      <c r="P90" s="86" t="str">
        <f t="shared" si="105"/>
        <v>163,636363636364</v>
      </c>
      <c r="Q90" s="4" t="str">
        <f t="shared" si="106"/>
        <v>1+2,0144498324402i</v>
      </c>
      <c r="R90" s="4">
        <f t="shared" si="118"/>
        <v>2.24900158457444</v>
      </c>
      <c r="S90" s="4">
        <f t="shared" si="119"/>
        <v>1.11002206855399</v>
      </c>
      <c r="T90" s="4" t="str">
        <f t="shared" si="107"/>
        <v>1+0,00517042123659651i</v>
      </c>
      <c r="U90" s="4">
        <f t="shared" si="120"/>
        <v>1.00001336653855</v>
      </c>
      <c r="V90" s="4">
        <f t="shared" si="121"/>
        <v>0.00517037516327108</v>
      </c>
      <c r="W90" t="str">
        <f t="shared" si="108"/>
        <v>1-0,00494619378500942i</v>
      </c>
      <c r="X90" s="4">
        <f t="shared" si="122"/>
        <v>1.00001223234166</v>
      </c>
      <c r="Y90" s="4">
        <f t="shared" si="123"/>
        <v>-0.00494615344966659</v>
      </c>
      <c r="Z90" t="str">
        <f t="shared" si="109"/>
        <v>0,9999999775165+0,00102456871260909i</v>
      </c>
      <c r="AA90" s="4">
        <f t="shared" si="124"/>
        <v>1.0000005023869</v>
      </c>
      <c r="AB90" s="4">
        <f t="shared" si="125"/>
        <v>0.00102456837713457</v>
      </c>
      <c r="AC90" s="67" t="str">
        <f t="shared" si="126"/>
        <v>32,3005782457332-65,198863525328i</v>
      </c>
      <c r="AD90" s="68">
        <f t="shared" si="127"/>
        <v>37.2380191543339</v>
      </c>
      <c r="AE90" s="31">
        <f t="shared" si="128"/>
        <v>-63.6454361804927</v>
      </c>
      <c r="AF90" s="32" t="str">
        <f t="shared" si="129"/>
        <v>748,315388573934</v>
      </c>
      <c r="AG90" s="32" t="str">
        <f t="shared" si="110"/>
        <v>1+1,6414035671735i</v>
      </c>
      <c r="AH90" s="32">
        <f t="shared" si="130"/>
        <v>1.92203165175028</v>
      </c>
      <c r="AI90" s="32">
        <f t="shared" si="131"/>
        <v>1.02361426539985</v>
      </c>
      <c r="AJ90" s="32" t="str">
        <f t="shared" si="111"/>
        <v>1+0,00517042123659651i</v>
      </c>
      <c r="AK90" s="32">
        <f t="shared" si="132"/>
        <v>1.00001336653855</v>
      </c>
      <c r="AL90" s="32">
        <f t="shared" si="133"/>
        <v>0.00517037516327108</v>
      </c>
      <c r="AM90" s="32" t="str">
        <f t="shared" si="112"/>
        <v>1-0,000881283929147421i</v>
      </c>
      <c r="AN90" s="32">
        <f t="shared" si="134"/>
        <v>1.00000038833061</v>
      </c>
      <c r="AO90" s="32">
        <f t="shared" si="135"/>
        <v>-0.000881283700994468</v>
      </c>
      <c r="AP90" s="30" t="str">
        <f t="shared" si="136"/>
        <v>203,991645174032-331,622986611376i</v>
      </c>
      <c r="AQ90" s="32">
        <f t="shared" si="137"/>
        <v>51.8066022920888</v>
      </c>
      <c r="AR90" s="31">
        <f t="shared" si="138"/>
        <v>-58.4030304180613</v>
      </c>
      <c r="AS90" t="str">
        <f t="shared" si="113"/>
        <v>-0,0000504684572142411</v>
      </c>
      <c r="AT90" t="str">
        <f t="shared" si="114"/>
        <v>0,000074093982899441i</v>
      </c>
      <c r="AU90">
        <f t="shared" si="139"/>
        <v>7.4093982899441e-5</v>
      </c>
      <c r="AV90">
        <f t="shared" si="140"/>
        <v>1.5707963267949</v>
      </c>
      <c r="AW90" t="str">
        <f t="shared" si="115"/>
        <v>1+0,00379347602262256i</v>
      </c>
      <c r="AX90">
        <f t="shared" si="141"/>
        <v>1.00000719520428</v>
      </c>
      <c r="AY90">
        <f t="shared" si="142"/>
        <v>0.0037934578261576</v>
      </c>
      <c r="AZ90" t="str">
        <f t="shared" si="116"/>
        <v>1+0,181360438783678i</v>
      </c>
      <c r="BA90">
        <f t="shared" si="143"/>
        <v>1.016312751448</v>
      </c>
      <c r="BB90">
        <f t="shared" si="144"/>
        <v>0.179410368864225</v>
      </c>
      <c r="BC90" s="30" t="str">
        <f t="shared" si="145"/>
        <v>-0,120946416340387+0,681599910012608i</v>
      </c>
      <c r="BD90" s="32">
        <f t="shared" si="146"/>
        <v>-3.1947732427994</v>
      </c>
      <c r="BE90" s="31">
        <f t="shared" si="147"/>
        <v>100.062107813606</v>
      </c>
      <c r="BF90" s="30" t="str">
        <f t="shared" si="148"/>
        <v>40,5329003272442+29,9016401185013i</v>
      </c>
      <c r="BG90" s="68">
        <f t="shared" si="149"/>
        <v>34.0432459115345</v>
      </c>
      <c r="BH90" s="31">
        <f t="shared" si="150"/>
        <v>36.4166716331129</v>
      </c>
      <c r="BI90" s="30" t="str">
        <f t="shared" si="103"/>
        <v>201,362139385247+179,149298800686i</v>
      </c>
      <c r="BJ90" s="68">
        <f t="shared" si="151"/>
        <v>48.6118290492893</v>
      </c>
      <c r="BK90" s="31">
        <f t="shared" si="104"/>
        <v>41.6590773955444</v>
      </c>
      <c r="BL90" s="32">
        <f t="shared" si="152"/>
        <v>34.0432459115345</v>
      </c>
      <c r="BM90" s="31">
        <f t="shared" si="153"/>
        <v>36.4166716331129</v>
      </c>
      <c r="BO90">
        <f t="shared" si="154"/>
        <v>0</v>
      </c>
      <c r="BP90">
        <f t="shared" si="155"/>
        <v>0</v>
      </c>
    </row>
    <row r="91" spans="14:68">
      <c r="N91" s="7">
        <v>73</v>
      </c>
      <c r="O91" s="18">
        <f t="shared" si="117"/>
        <v>53.7031796370253</v>
      </c>
      <c r="P91" s="86" t="str">
        <f t="shared" si="105"/>
        <v>163,636363636364</v>
      </c>
      <c r="Q91" s="4" t="str">
        <f t="shared" si="106"/>
        <v>1+2,06137239683719i</v>
      </c>
      <c r="R91" s="4">
        <f t="shared" si="118"/>
        <v>2.2911255221926</v>
      </c>
      <c r="S91" s="4">
        <f t="shared" si="119"/>
        <v>1.11912851833364</v>
      </c>
      <c r="T91" s="4" t="str">
        <f t="shared" si="107"/>
        <v>1+0,00529085581854879i</v>
      </c>
      <c r="U91" s="4">
        <f t="shared" si="120"/>
        <v>1.0000139964797</v>
      </c>
      <c r="V91" s="4">
        <f t="shared" si="121"/>
        <v>0.00529080645012845</v>
      </c>
      <c r="W91" t="str">
        <f t="shared" si="108"/>
        <v>1-0,00506140543866275i</v>
      </c>
      <c r="X91" s="4">
        <f t="shared" si="122"/>
        <v>1.00001280883047</v>
      </c>
      <c r="Y91" s="4">
        <f t="shared" si="123"/>
        <v>-0.00506136221859412</v>
      </c>
      <c r="Z91" t="str">
        <f t="shared" si="109"/>
        <v>0,999999976456886+0,001048433983723i</v>
      </c>
      <c r="AA91" s="4">
        <f t="shared" si="124"/>
        <v>1.00000052606366</v>
      </c>
      <c r="AB91" s="4">
        <f t="shared" si="125"/>
        <v>0.00104843362425559</v>
      </c>
      <c r="AC91" s="67" t="str">
        <f t="shared" si="126"/>
        <v>31,1214273147811-64,2868711698377i</v>
      </c>
      <c r="AD91" s="68">
        <f t="shared" si="127"/>
        <v>37.0768469917651</v>
      </c>
      <c r="AE91" s="31">
        <f t="shared" si="128"/>
        <v>-64.1682654689155</v>
      </c>
      <c r="AF91" s="32" t="str">
        <f t="shared" si="129"/>
        <v>748,315388573934</v>
      </c>
      <c r="AG91" s="32" t="str">
        <f t="shared" si="110"/>
        <v>1+1,67963676779327i</v>
      </c>
      <c r="AH91" s="32">
        <f t="shared" si="130"/>
        <v>1.9547837915542</v>
      </c>
      <c r="AI91" s="32">
        <f t="shared" si="131"/>
        <v>1.03379054161989</v>
      </c>
      <c r="AJ91" s="32" t="str">
        <f t="shared" si="111"/>
        <v>1+0,00529085581854879i</v>
      </c>
      <c r="AK91" s="32">
        <f t="shared" si="132"/>
        <v>1.0000139964797</v>
      </c>
      <c r="AL91" s="32">
        <f t="shared" si="133"/>
        <v>0.00529080645012845</v>
      </c>
      <c r="AM91" s="32" t="str">
        <f t="shared" si="112"/>
        <v>1-0,000901811668906203i</v>
      </c>
      <c r="AN91" s="32">
        <f t="shared" si="134"/>
        <v>1.00000040663206</v>
      </c>
      <c r="AO91" s="32">
        <f t="shared" si="135"/>
        <v>-0.000901811424435915</v>
      </c>
      <c r="AP91" s="30" t="str">
        <f t="shared" si="136"/>
        <v>197,278224215081-328,071369598306i</v>
      </c>
      <c r="AQ91" s="32">
        <f t="shared" si="137"/>
        <v>51.6598440416444</v>
      </c>
      <c r="AR91" s="31">
        <f t="shared" si="138"/>
        <v>-58.9803640440871</v>
      </c>
      <c r="AS91" t="str">
        <f t="shared" si="113"/>
        <v>-0,0000504684572142411</v>
      </c>
      <c r="AT91" t="str">
        <f t="shared" si="114"/>
        <v>0,000075819853471168i</v>
      </c>
      <c r="AU91">
        <f t="shared" si="139"/>
        <v>7.5819853471168e-5</v>
      </c>
      <c r="AV91">
        <f t="shared" si="140"/>
        <v>1.5707963267949</v>
      </c>
      <c r="AW91" t="str">
        <f t="shared" si="115"/>
        <v>1+0,00388183743033473i</v>
      </c>
      <c r="AX91">
        <f t="shared" si="141"/>
        <v>1.00000753430253</v>
      </c>
      <c r="AY91">
        <f t="shared" si="142"/>
        <v>0.00388181793247917</v>
      </c>
      <c r="AZ91" t="str">
        <f t="shared" si="116"/>
        <v>1+0,1855848660843i</v>
      </c>
      <c r="BA91">
        <f t="shared" si="143"/>
        <v>1.01707509187844</v>
      </c>
      <c r="BB91">
        <f t="shared" si="144"/>
        <v>0.183497218471946</v>
      </c>
      <c r="BC91" s="30" t="str">
        <f t="shared" si="145"/>
        <v>-0,120946334315581+0,666105932271533i</v>
      </c>
      <c r="BD91" s="32">
        <f t="shared" si="146"/>
        <v>-3.38826330849486</v>
      </c>
      <c r="BE91" s="31">
        <f t="shared" si="147"/>
        <v>100.291204386463</v>
      </c>
      <c r="BF91" s="30" t="str">
        <f t="shared" si="148"/>
        <v>39,0578437010131+28,5054287677429i</v>
      </c>
      <c r="BG91" s="68">
        <f t="shared" si="149"/>
        <v>33.6885836832702</v>
      </c>
      <c r="BH91" s="31">
        <f t="shared" si="150"/>
        <v>36.1229389175477</v>
      </c>
      <c r="BI91" s="30" t="str">
        <f t="shared" si="103"/>
        <v>194,670207438777+171,087225004466i</v>
      </c>
      <c r="BJ91" s="68">
        <f t="shared" si="151"/>
        <v>48.2715807331495</v>
      </c>
      <c r="BK91" s="31">
        <f t="shared" si="104"/>
        <v>41.3108403423761</v>
      </c>
      <c r="BL91" s="32">
        <f t="shared" si="152"/>
        <v>33.6885836832702</v>
      </c>
      <c r="BM91" s="31">
        <f t="shared" si="153"/>
        <v>36.1229389175477</v>
      </c>
      <c r="BO91">
        <f t="shared" si="154"/>
        <v>0</v>
      </c>
      <c r="BP91">
        <f t="shared" si="155"/>
        <v>0</v>
      </c>
    </row>
    <row r="92" spans="14:68">
      <c r="N92" s="7">
        <v>74</v>
      </c>
      <c r="O92" s="18">
        <f t="shared" si="117"/>
        <v>54.9540873857625</v>
      </c>
      <c r="P92" s="86" t="str">
        <f t="shared" si="105"/>
        <v>163,636363636364</v>
      </c>
      <c r="Q92" s="4" t="str">
        <f t="shared" si="106"/>
        <v>1+2,10938792816448i</v>
      </c>
      <c r="R92" s="4">
        <f t="shared" si="118"/>
        <v>2.33442014887767</v>
      </c>
      <c r="S92" s="4">
        <f t="shared" si="119"/>
        <v>1.12810610624523</v>
      </c>
      <c r="T92" s="4" t="str">
        <f t="shared" si="107"/>
        <v>1+0,00541409568228884i</v>
      </c>
      <c r="U92" s="4">
        <f t="shared" si="120"/>
        <v>1.00001465610863</v>
      </c>
      <c r="V92" s="4">
        <f t="shared" si="121"/>
        <v>0.00541404278311525</v>
      </c>
      <c r="W92" t="str">
        <f t="shared" si="108"/>
        <v>1-0,0051793007164753i</v>
      </c>
      <c r="X92" s="4">
        <f t="shared" si="122"/>
        <v>1.00001341248801</v>
      </c>
      <c r="Y92" s="4">
        <f t="shared" si="123"/>
        <v>-0.00517925440537093</v>
      </c>
      <c r="Z92" t="str">
        <f t="shared" si="109"/>
        <v>0,999999975347333+0,00107285514841274i</v>
      </c>
      <c r="AA92" s="4">
        <f t="shared" si="124"/>
        <v>1.00000055085627</v>
      </c>
      <c r="AB92" s="4">
        <f t="shared" si="125"/>
        <v>0.00107285476323648</v>
      </c>
      <c r="AC92" s="67" t="str">
        <f t="shared" si="126"/>
        <v>29,97541079575-63,3669115678368i</v>
      </c>
      <c r="AD92" s="68">
        <f t="shared" si="127"/>
        <v>36.9142549521696</v>
      </c>
      <c r="AE92" s="31">
        <f t="shared" si="128"/>
        <v>-64.6837363976292</v>
      </c>
      <c r="AF92" s="32" t="str">
        <f t="shared" si="129"/>
        <v>748,315388573934</v>
      </c>
      <c r="AG92" s="32" t="str">
        <f t="shared" si="110"/>
        <v>1+1,71876053405995i</v>
      </c>
      <c r="AH92" s="32">
        <f t="shared" si="130"/>
        <v>1.98850138884589</v>
      </c>
      <c r="AI92" s="32">
        <f t="shared" si="131"/>
        <v>1.04385576367758</v>
      </c>
      <c r="AJ92" s="32" t="str">
        <f t="shared" si="111"/>
        <v>1+0,00541409568228884i</v>
      </c>
      <c r="AK92" s="32">
        <f t="shared" si="132"/>
        <v>1.00001465610863</v>
      </c>
      <c r="AL92" s="32">
        <f t="shared" si="133"/>
        <v>0.00541404278311525</v>
      </c>
      <c r="AM92" s="32" t="str">
        <f t="shared" si="112"/>
        <v>1-0,000922817561148731i</v>
      </c>
      <c r="AN92" s="32">
        <f t="shared" si="134"/>
        <v>1.00000042579603</v>
      </c>
      <c r="AO92" s="32">
        <f t="shared" si="135"/>
        <v>-0.000922817299194103</v>
      </c>
      <c r="AP92" s="30" t="str">
        <f t="shared" si="136"/>
        <v>190,710526535768-324,424833907056i</v>
      </c>
      <c r="AQ92" s="32">
        <f t="shared" si="137"/>
        <v>51.5113065512664</v>
      </c>
      <c r="AR92" s="31">
        <f t="shared" si="138"/>
        <v>-59.5512014140606</v>
      </c>
      <c r="AS92" t="str">
        <f t="shared" si="113"/>
        <v>-0,0000504684572142411</v>
      </c>
      <c r="AT92" t="str">
        <f t="shared" si="114"/>
        <v>0,0000775859247327999i</v>
      </c>
      <c r="AU92">
        <f t="shared" si="139"/>
        <v>7.75859247327999e-5</v>
      </c>
      <c r="AV92">
        <f t="shared" si="140"/>
        <v>1.5707963267949</v>
      </c>
      <c r="AW92" t="str">
        <f t="shared" si="115"/>
        <v>1+0,00397225703963466i</v>
      </c>
      <c r="AX92">
        <f t="shared" si="141"/>
        <v>1.00000788938187</v>
      </c>
      <c r="AY92">
        <f t="shared" si="142"/>
        <v>0.00397223614731492</v>
      </c>
      <c r="AZ92" t="str">
        <f t="shared" si="116"/>
        <v>1+0,189907692937427i</v>
      </c>
      <c r="BA92">
        <f t="shared" si="143"/>
        <v>1.01787274835159</v>
      </c>
      <c r="BB92">
        <f t="shared" si="144"/>
        <v>0.187672854123996</v>
      </c>
      <c r="BC92" s="30" t="str">
        <f t="shared" si="145"/>
        <v>-0,120946248425186+0,650965132682689i</v>
      </c>
      <c r="BD92" s="32">
        <f t="shared" si="146"/>
        <v>-3.58145702258974</v>
      </c>
      <c r="BE92" s="31">
        <f t="shared" si="147"/>
        <v>100.525270104009</v>
      </c>
      <c r="BF92" s="30" t="str">
        <f t="shared" si="148"/>
        <v>37,6242365156993+27,1769374942939i</v>
      </c>
      <c r="BG92" s="68">
        <f t="shared" si="149"/>
        <v>33.3327979295799</v>
      </c>
      <c r="BH92" s="31">
        <f t="shared" si="150"/>
        <v>35.8415337063797</v>
      </c>
      <c r="BI92" s="30" t="str">
        <f t="shared" si="103"/>
        <v>188,123532330173+163,383869767364i</v>
      </c>
      <c r="BJ92" s="68">
        <f t="shared" si="151"/>
        <v>47.9298495286766</v>
      </c>
      <c r="BK92" s="31">
        <f t="shared" si="104"/>
        <v>40.9740686899482</v>
      </c>
      <c r="BL92" s="32">
        <f t="shared" si="152"/>
        <v>33.3327979295799</v>
      </c>
      <c r="BM92" s="31">
        <f t="shared" si="153"/>
        <v>35.8415337063797</v>
      </c>
      <c r="BO92">
        <f t="shared" si="154"/>
        <v>0</v>
      </c>
      <c r="BP92">
        <f t="shared" si="155"/>
        <v>0</v>
      </c>
    </row>
    <row r="93" spans="14:68">
      <c r="N93" s="7">
        <v>75</v>
      </c>
      <c r="O93" s="18">
        <f t="shared" si="117"/>
        <v>56.2341325190349</v>
      </c>
      <c r="P93" s="86" t="str">
        <f t="shared" si="105"/>
        <v>163,636363636364</v>
      </c>
      <c r="Q93" s="4" t="str">
        <f t="shared" si="106"/>
        <v>1+2,15852188489233i</v>
      </c>
      <c r="R93" s="4">
        <f t="shared" si="118"/>
        <v>2.37891082799653</v>
      </c>
      <c r="S93" s="4">
        <f t="shared" si="119"/>
        <v>1.13695380279369</v>
      </c>
      <c r="T93" s="4" t="str">
        <f t="shared" si="107"/>
        <v>1+0,00554020617122365i</v>
      </c>
      <c r="U93" s="4">
        <f t="shared" si="120"/>
        <v>1.00001534682445</v>
      </c>
      <c r="V93" s="4">
        <f t="shared" si="121"/>
        <v>0.0055401494887849</v>
      </c>
      <c r="W93" t="str">
        <f t="shared" si="108"/>
        <v>1-0,00529994212808386i</v>
      </c>
      <c r="X93" s="4">
        <f t="shared" si="122"/>
        <v>1.00001404459466</v>
      </c>
      <c r="Y93" s="4">
        <f t="shared" si="123"/>
        <v>-0.00529989250487913</v>
      </c>
      <c r="Z93" t="str">
        <f t="shared" si="109"/>
        <v>0,999999974185488+0,00109784515510308i</v>
      </c>
      <c r="AA93" s="4">
        <f t="shared" si="124"/>
        <v>1.00000057681731</v>
      </c>
      <c r="AB93" s="4">
        <f t="shared" si="125"/>
        <v>0.00109784474237929</v>
      </c>
      <c r="AC93" s="67" t="str">
        <f t="shared" si="126"/>
        <v>28,8623155674162-62,4402763696843i</v>
      </c>
      <c r="AD93" s="68">
        <f t="shared" si="127"/>
        <v>36.7502834158371</v>
      </c>
      <c r="AE93" s="31">
        <f t="shared" si="128"/>
        <v>-65.1917905605503</v>
      </c>
      <c r="AF93" s="32" t="str">
        <f t="shared" si="129"/>
        <v>748,315388573934</v>
      </c>
      <c r="AG93" s="32" t="str">
        <f t="shared" si="110"/>
        <v>1+1,75879560991227i</v>
      </c>
      <c r="AH93" s="32">
        <f t="shared" si="130"/>
        <v>2.02320587124659</v>
      </c>
      <c r="AI93" s="32">
        <f t="shared" si="131"/>
        <v>1.05380711017786</v>
      </c>
      <c r="AJ93" s="32" t="str">
        <f t="shared" si="111"/>
        <v>1+0,00554020617122365i</v>
      </c>
      <c r="AK93" s="32">
        <f t="shared" si="132"/>
        <v>1.00001534682445</v>
      </c>
      <c r="AL93" s="32">
        <f t="shared" si="133"/>
        <v>0.0055401494887849</v>
      </c>
      <c r="AM93" s="32" t="str">
        <f t="shared" si="112"/>
        <v>1-0,000944312743477112i</v>
      </c>
      <c r="AN93" s="32">
        <f t="shared" si="134"/>
        <v>1.00000044586318</v>
      </c>
      <c r="AO93" s="32">
        <f t="shared" si="135"/>
        <v>-0.000944312462787678</v>
      </c>
      <c r="AP93" s="30" t="str">
        <f t="shared" si="136"/>
        <v>184,290594081621-320,690310042651i</v>
      </c>
      <c r="AQ93" s="32">
        <f t="shared" si="137"/>
        <v>51.3610291651609</v>
      </c>
      <c r="AR93" s="31">
        <f t="shared" si="138"/>
        <v>-60.1153777691497</v>
      </c>
      <c r="AS93" t="str">
        <f t="shared" si="113"/>
        <v>-0,0000504684572142411</v>
      </c>
      <c r="AT93" t="str">
        <f t="shared" si="114"/>
        <v>0,000079393133078696i</v>
      </c>
      <c r="AU93">
        <f t="shared" si="139"/>
        <v>7.9393133078696e-5</v>
      </c>
      <c r="AV93">
        <f t="shared" si="140"/>
        <v>1.5707963267949</v>
      </c>
      <c r="AW93" t="str">
        <f t="shared" si="115"/>
        <v>1+0,00406478279219604i</v>
      </c>
      <c r="AX93">
        <f t="shared" si="141"/>
        <v>1.00000826119545</v>
      </c>
      <c r="AY93">
        <f t="shared" si="142"/>
        <v>0.00406476040568209</v>
      </c>
      <c r="AZ93" t="str">
        <f t="shared" si="116"/>
        <v>1+0,194331211363074i</v>
      </c>
      <c r="BA93">
        <f t="shared" si="143"/>
        <v>1.01870732779824</v>
      </c>
      <c r="BB93">
        <f t="shared" si="144"/>
        <v>0.191938907065039</v>
      </c>
      <c r="BC93" s="30" t="str">
        <f t="shared" si="145"/>
        <v>-0,120946158487032+0,636169483391565i</v>
      </c>
      <c r="BD93" s="32">
        <f t="shared" si="146"/>
        <v>-3.7743413909629</v>
      </c>
      <c r="BE93" s="31">
        <f t="shared" si="147"/>
        <v>100.764395683203</v>
      </c>
      <c r="BF93" s="30" t="str">
        <f t="shared" si="148"/>
        <v>36,2318121680091+25,9132359457894i</v>
      </c>
      <c r="BG93" s="68">
        <f t="shared" si="149"/>
        <v>32.9759420248742</v>
      </c>
      <c r="BH93" s="31">
        <f t="shared" si="150"/>
        <v>35.5726051226529</v>
      </c>
      <c r="BI93" s="30" t="str">
        <f t="shared" si="103"/>
        <v>181,724149469049+156,026313094503i</v>
      </c>
      <c r="BJ93" s="68">
        <f t="shared" si="151"/>
        <v>47.586687774198</v>
      </c>
      <c r="BK93" s="31">
        <f t="shared" si="104"/>
        <v>40.6490179140533</v>
      </c>
      <c r="BL93" s="32">
        <f t="shared" si="152"/>
        <v>32.9759420248742</v>
      </c>
      <c r="BM93" s="31">
        <f t="shared" si="153"/>
        <v>35.5726051226529</v>
      </c>
      <c r="BO93">
        <f t="shared" si="154"/>
        <v>0</v>
      </c>
      <c r="BP93">
        <f t="shared" si="155"/>
        <v>0</v>
      </c>
    </row>
    <row r="94" spans="14:68">
      <c r="N94" s="7">
        <v>76</v>
      </c>
      <c r="O94" s="18">
        <f t="shared" si="117"/>
        <v>57.5439937337157</v>
      </c>
      <c r="P94" s="86" t="str">
        <f t="shared" si="105"/>
        <v>163,636363636364</v>
      </c>
      <c r="Q94" s="4" t="str">
        <f t="shared" si="106"/>
        <v>1+2,20880031849497i</v>
      </c>
      <c r="R94" s="4">
        <f t="shared" si="118"/>
        <v>2.42462344436894</v>
      </c>
      <c r="S94" s="4">
        <f t="shared" si="119"/>
        <v>1.14567075722715</v>
      </c>
      <c r="T94" s="4" t="str">
        <f t="shared" si="107"/>
        <v>1+0,00566925415080376i</v>
      </c>
      <c r="U94" s="4">
        <f t="shared" si="120"/>
        <v>1.00001607009219</v>
      </c>
      <c r="V94" s="4">
        <f t="shared" si="121"/>
        <v>0.00566919341452909</v>
      </c>
      <c r="W94" t="str">
        <f t="shared" si="108"/>
        <v>1-0,00542339363916176i</v>
      </c>
      <c r="X94" s="4">
        <f t="shared" si="122"/>
        <v>1.00001470649114</v>
      </c>
      <c r="Y94" s="4">
        <f t="shared" si="123"/>
        <v>-0.00542334046698213</v>
      </c>
      <c r="Z94" t="str">
        <f t="shared" si="109"/>
        <v>0,999999972968888+0,00112341725382636i</v>
      </c>
      <c r="AA94" s="4">
        <f t="shared" si="124"/>
        <v>1.00000060400187</v>
      </c>
      <c r="AB94" s="4">
        <f t="shared" si="125"/>
        <v>0.00112341681158487</v>
      </c>
      <c r="AC94" s="67" t="str">
        <f t="shared" si="126"/>
        <v>27,7818727914699-61,5082151441781i</v>
      </c>
      <c r="AD94" s="68">
        <f t="shared" si="127"/>
        <v>36.5849724693029</v>
      </c>
      <c r="AE94" s="31">
        <f t="shared" si="128"/>
        <v>-65.6923798063353</v>
      </c>
      <c r="AF94" s="32" t="str">
        <f t="shared" si="129"/>
        <v>748,315388573934</v>
      </c>
      <c r="AG94" s="32" t="str">
        <f t="shared" si="110"/>
        <v>1+1,79976322247738i</v>
      </c>
      <c r="AH94" s="32">
        <f t="shared" si="130"/>
        <v>2.05891905061422</v>
      </c>
      <c r="AI94" s="32">
        <f t="shared" si="131"/>
        <v>1.06364197303337</v>
      </c>
      <c r="AJ94" s="32" t="str">
        <f t="shared" si="111"/>
        <v>1+0,00566925415080376i</v>
      </c>
      <c r="AK94" s="32">
        <f t="shared" si="132"/>
        <v>1.00001607009219</v>
      </c>
      <c r="AL94" s="32">
        <f t="shared" si="133"/>
        <v>0.00566919341452909</v>
      </c>
      <c r="AM94" s="32" t="str">
        <f t="shared" si="112"/>
        <v>1-0,000966308612921543i</v>
      </c>
      <c r="AN94" s="32">
        <f t="shared" si="134"/>
        <v>1.00000046687606</v>
      </c>
      <c r="AO94" s="32">
        <f t="shared" si="135"/>
        <v>-0.000966308312157403</v>
      </c>
      <c r="AP94" s="30" t="str">
        <f t="shared" si="136"/>
        <v>178,020071849316-316,874691659558i</v>
      </c>
      <c r="AQ94" s="32">
        <f t="shared" si="137"/>
        <v>51.2090517218639</v>
      </c>
      <c r="AR94" s="31">
        <f t="shared" si="138"/>
        <v>-60.6727404998792</v>
      </c>
      <c r="AS94" t="str">
        <f t="shared" si="113"/>
        <v>-0,0000504684572142411</v>
      </c>
      <c r="AT94" t="str">
        <f t="shared" si="114"/>
        <v>0,000081242436714643i</v>
      </c>
      <c r="AU94">
        <f t="shared" si="139"/>
        <v>8.1242436714643e-5</v>
      </c>
      <c r="AV94">
        <f t="shared" si="140"/>
        <v>1.5707963267949</v>
      </c>
      <c r="AW94" t="str">
        <f t="shared" si="115"/>
        <v>1+0,00415946374639761i</v>
      </c>
      <c r="AX94">
        <f t="shared" si="141"/>
        <v>1.00000865053191</v>
      </c>
      <c r="AY94">
        <f t="shared" si="142"/>
        <v>0.00415943975882694</v>
      </c>
      <c r="AZ94" t="str">
        <f t="shared" si="116"/>
        <v>1+0,198857766769264i</v>
      </c>
      <c r="BA94">
        <f t="shared" si="143"/>
        <v>1.019580507564</v>
      </c>
      <c r="BB94">
        <f t="shared" si="144"/>
        <v>0.196297017802283</v>
      </c>
      <c r="BC94" s="30" t="str">
        <f t="shared" si="145"/>
        <v>-0,120946064310365+0,621711139546768i</v>
      </c>
      <c r="BD94" s="32">
        <f t="shared" si="146"/>
        <v>-3.96690289580249</v>
      </c>
      <c r="BE94" s="31">
        <f t="shared" si="147"/>
        <v>101.008672307755</v>
      </c>
      <c r="BF94" s="30" t="str">
        <f t="shared" si="148"/>
        <v>34,8802343554752+24,7114763363716i</v>
      </c>
      <c r="BG94" s="68">
        <f t="shared" si="149"/>
        <v>32.6180695735004</v>
      </c>
      <c r="BH94" s="31">
        <f t="shared" si="150"/>
        <v>35.3162925014202</v>
      </c>
      <c r="BI94" s="30" t="str">
        <f t="shared" si="103"/>
        <v>175,473698586771+149,00180856742i</v>
      </c>
      <c r="BJ94" s="68">
        <f t="shared" si="151"/>
        <v>47.2421488260614</v>
      </c>
      <c r="BK94" s="31">
        <f t="shared" si="104"/>
        <v>40.3359318078763</v>
      </c>
      <c r="BL94" s="32">
        <f t="shared" si="152"/>
        <v>32.6180695735004</v>
      </c>
      <c r="BM94" s="31">
        <f t="shared" si="153"/>
        <v>35.3162925014202</v>
      </c>
      <c r="BO94">
        <f t="shared" si="154"/>
        <v>0</v>
      </c>
      <c r="BP94">
        <f t="shared" si="155"/>
        <v>0</v>
      </c>
    </row>
    <row r="95" spans="14:68">
      <c r="N95" s="7">
        <v>77</v>
      </c>
      <c r="O95" s="18">
        <f t="shared" si="117"/>
        <v>58.8843655355589</v>
      </c>
      <c r="P95" s="86" t="str">
        <f t="shared" si="105"/>
        <v>163,636363636364</v>
      </c>
      <c r="Q95" s="4" t="str">
        <f t="shared" si="106"/>
        <v>1+2,2602498872634i</v>
      </c>
      <c r="R95" s="4">
        <f t="shared" si="118"/>
        <v>2.47158442155517</v>
      </c>
      <c r="S95" s="4">
        <f t="shared" si="119"/>
        <v>1.1542562914774</v>
      </c>
      <c r="T95" s="4" t="str">
        <f t="shared" si="107"/>
        <v>1+0,00580130804397606i</v>
      </c>
      <c r="U95" s="4">
        <f t="shared" si="120"/>
        <v>1.00001682744593</v>
      </c>
      <c r="V95" s="4">
        <f t="shared" si="121"/>
        <v>0.00580124296394437</v>
      </c>
      <c r="W95" t="str">
        <f t="shared" si="108"/>
        <v>1-0,00554972070533425i</v>
      </c>
      <c r="X95" s="4">
        <f t="shared" si="122"/>
        <v>1.00001539958138</v>
      </c>
      <c r="Y95" s="4">
        <f t="shared" si="123"/>
        <v>-0.00554966373036466</v>
      </c>
      <c r="Z95" t="str">
        <f t="shared" si="109"/>
        <v>0,999999971694951+0,00114958500324781i</v>
      </c>
      <c r="AA95" s="4">
        <f t="shared" si="124"/>
        <v>1.00000063246759</v>
      </c>
      <c r="AB95" s="4">
        <f t="shared" si="125"/>
        <v>0.00114958452937753</v>
      </c>
      <c r="AC95" s="67" t="str">
        <f t="shared" si="126"/>
        <v>26,7337619785895-60,5719334423528i</v>
      </c>
      <c r="AD95" s="68">
        <f t="shared" si="127"/>
        <v>36.4183618398111</v>
      </c>
      <c r="AE95" s="31">
        <f t="shared" si="128"/>
        <v>-66.1854658915069</v>
      </c>
      <c r="AF95" s="32" t="str">
        <f t="shared" si="129"/>
        <v>748,315388573934</v>
      </c>
      <c r="AG95" s="32" t="str">
        <f t="shared" si="110"/>
        <v>1+1,84168509332573i</v>
      </c>
      <c r="AH95" s="32">
        <f t="shared" si="130"/>
        <v>2.09566313680854</v>
      </c>
      <c r="AI95" s="32">
        <f t="shared" si="131"/>
        <v>1.07335795594867</v>
      </c>
      <c r="AJ95" s="32" t="str">
        <f t="shared" si="111"/>
        <v>1+0,00580130804397606i</v>
      </c>
      <c r="AK95" s="32">
        <f t="shared" si="132"/>
        <v>1.00001682744593</v>
      </c>
      <c r="AL95" s="32">
        <f t="shared" si="133"/>
        <v>0.00580124296394437</v>
      </c>
      <c r="AM95" s="32" t="str">
        <f t="shared" si="112"/>
        <v>1-0,00098881683198315i</v>
      </c>
      <c r="AN95" s="32">
        <f t="shared" si="134"/>
        <v>1.00000048887924</v>
      </c>
      <c r="AO95" s="32">
        <f t="shared" si="135"/>
        <v>-0.000988816509708577</v>
      </c>
      <c r="AP95" s="30" t="str">
        <f t="shared" si="136"/>
        <v>171,900219883785-312,984811268071i</v>
      </c>
      <c r="AQ95" s="32">
        <f t="shared" si="137"/>
        <v>51.055414449472</v>
      </c>
      <c r="AR95" s="31">
        <f t="shared" si="138"/>
        <v>-61.223149057603</v>
      </c>
      <c r="AS95" t="str">
        <f t="shared" si="113"/>
        <v>-0,0000504684572142411</v>
      </c>
      <c r="AT95" t="str">
        <f t="shared" si="114"/>
        <v>0,0000831348161659069i</v>
      </c>
      <c r="AU95">
        <f t="shared" si="139"/>
        <v>8.31348161659069e-5</v>
      </c>
      <c r="AV95">
        <f t="shared" si="140"/>
        <v>1.5707963267949</v>
      </c>
      <c r="AW95" t="str">
        <f t="shared" si="115"/>
        <v>1+0,00425635010333452i</v>
      </c>
      <c r="AX95">
        <f t="shared" si="141"/>
        <v>1.00000905821708</v>
      </c>
      <c r="AY95">
        <f t="shared" si="142"/>
        <v>0.00425632440020204</v>
      </c>
      <c r="AZ95" t="str">
        <f t="shared" si="116"/>
        <v>1+0,203489759195589i</v>
      </c>
      <c r="BA95">
        <f t="shared" si="143"/>
        <v>1.02049403824691</v>
      </c>
      <c r="BB95">
        <f t="shared" si="144"/>
        <v>0.200748834552949</v>
      </c>
      <c r="BC95" s="30" t="str">
        <f t="shared" si="145"/>
        <v>-0,120945965695447+0,607582435140548i</v>
      </c>
      <c r="BD95" s="32">
        <f t="shared" si="146"/>
        <v>-4.15912747876305</v>
      </c>
      <c r="BE95" s="31">
        <f t="shared" si="147"/>
        <v>101.258191537684</v>
      </c>
      <c r="BF95" s="30" t="str">
        <f t="shared" si="148"/>
        <v>33,5691021629032+23,5688951876449i</v>
      </c>
      <c r="BG95" s="68">
        <f t="shared" si="149"/>
        <v>32.259234361048</v>
      </c>
      <c r="BH95" s="31">
        <f t="shared" si="150"/>
        <v>35.072725646177</v>
      </c>
      <c r="BI95" s="30" t="str">
        <f t="shared" si="103"/>
        <v>169,373435695155+142,29780444501i</v>
      </c>
      <c r="BJ95" s="68">
        <f t="shared" si="151"/>
        <v>46.896286970709</v>
      </c>
      <c r="BK95" s="31">
        <f t="shared" si="104"/>
        <v>40.035042480081</v>
      </c>
      <c r="BL95" s="32">
        <f t="shared" si="152"/>
        <v>32.259234361048</v>
      </c>
      <c r="BM95" s="31">
        <f t="shared" si="153"/>
        <v>35.072725646177</v>
      </c>
      <c r="BO95">
        <f t="shared" si="154"/>
        <v>0</v>
      </c>
      <c r="BP95">
        <f t="shared" si="155"/>
        <v>0</v>
      </c>
    </row>
    <row r="96" spans="14:68">
      <c r="N96" s="7">
        <v>78</v>
      </c>
      <c r="O96" s="18">
        <f t="shared" si="117"/>
        <v>60.2559586074358</v>
      </c>
      <c r="P96" s="86" t="str">
        <f t="shared" si="105"/>
        <v>163,636363636364</v>
      </c>
      <c r="Q96" s="4" t="str">
        <f t="shared" si="106"/>
        <v>1+2,31289787044i</v>
      </c>
      <c r="R96" s="4">
        <f t="shared" si="118"/>
        <v>2.51982073947451</v>
      </c>
      <c r="S96" s="4">
        <f t="shared" si="119"/>
        <v>1.16270989385277</v>
      </c>
      <c r="T96" s="4" t="str">
        <f t="shared" si="107"/>
        <v>1+0,00593643786746267i</v>
      </c>
      <c r="U96" s="4">
        <f t="shared" si="120"/>
        <v>1.00001762049204</v>
      </c>
      <c r="V96" s="4">
        <f t="shared" si="121"/>
        <v>0.00593636813301869</v>
      </c>
      <c r="W96" t="str">
        <f t="shared" si="108"/>
        <v>1-0,00567899030688394i</v>
      </c>
      <c r="X96" s="4">
        <f t="shared" si="122"/>
        <v>1.00001612533544</v>
      </c>
      <c r="Y96" s="4">
        <f t="shared" si="123"/>
        <v>-0.00567892925715728</v>
      </c>
      <c r="Z96" t="str">
        <f t="shared" si="109"/>
        <v>0,999999970360975+0,00117636227785453i</v>
      </c>
      <c r="AA96" s="4">
        <f t="shared" si="124"/>
        <v>1.00000066227486</v>
      </c>
      <c r="AB96" s="4">
        <f t="shared" si="125"/>
        <v>0.0011763617700934</v>
      </c>
      <c r="AC96" s="67" t="str">
        <f t="shared" si="126"/>
        <v>25,7176150391031-59,6325912112354i</v>
      </c>
      <c r="AD96" s="68">
        <f t="shared" si="127"/>
        <v>36.2504908347404</v>
      </c>
      <c r="AE96" s="31">
        <f t="shared" si="128"/>
        <v>-66.6710201194053</v>
      </c>
      <c r="AF96" s="32" t="str">
        <f t="shared" si="129"/>
        <v>748,315388573934</v>
      </c>
      <c r="AG96" s="32" t="str">
        <f t="shared" si="110"/>
        <v>1+1,88458344998815i</v>
      </c>
      <c r="AH96" s="32">
        <f t="shared" si="130"/>
        <v>2.13346075191676</v>
      </c>
      <c r="AI96" s="32">
        <f t="shared" si="131"/>
        <v>1.08295287218028</v>
      </c>
      <c r="AJ96" s="32" t="str">
        <f t="shared" si="111"/>
        <v>1+0,00593643786746267i</v>
      </c>
      <c r="AK96" s="32">
        <f t="shared" si="132"/>
        <v>1.00001762049204</v>
      </c>
      <c r="AL96" s="32">
        <f t="shared" si="133"/>
        <v>0.00593636813301869</v>
      </c>
      <c r="AM96" s="32" t="str">
        <f t="shared" si="112"/>
        <v>1-0,00101184933481761i</v>
      </c>
      <c r="AN96" s="32">
        <f t="shared" si="134"/>
        <v>1.00000051191941</v>
      </c>
      <c r="AO96" s="32">
        <f t="shared" si="135"/>
        <v>-0.00101184898949419</v>
      </c>
      <c r="AP96" s="30" t="str">
        <f t="shared" si="136"/>
        <v>165,93192674907-309,02741759457i</v>
      </c>
      <c r="AQ96" s="32">
        <f t="shared" si="137"/>
        <v>50.9001578642907</v>
      </c>
      <c r="AR96" s="31">
        <f t="shared" si="138"/>
        <v>-61.7664748244453</v>
      </c>
      <c r="AS96" t="str">
        <f t="shared" si="113"/>
        <v>-0,0000504684572142411</v>
      </c>
      <c r="AT96" t="str">
        <f t="shared" si="114"/>
        <v>0,0000850712747971213i</v>
      </c>
      <c r="AU96">
        <f t="shared" si="139"/>
        <v>8.50712747971213e-5</v>
      </c>
      <c r="AV96">
        <f t="shared" si="140"/>
        <v>1.5707963267949</v>
      </c>
      <c r="AW96" t="str">
        <f t="shared" si="115"/>
        <v>1+0,00435549323343568i</v>
      </c>
      <c r="AX96">
        <f t="shared" si="141"/>
        <v>1.00000948511567</v>
      </c>
      <c r="AY96">
        <f t="shared" si="142"/>
        <v>0.00435546569204713</v>
      </c>
      <c r="AZ96" t="str">
        <f t="shared" si="116"/>
        <v>1+0,208229644585744i</v>
      </c>
      <c r="BA96">
        <f t="shared" si="143"/>
        <v>1.02144974662697</v>
      </c>
      <c r="BB96">
        <f t="shared" si="144"/>
        <v>0.205296011560922</v>
      </c>
      <c r="BC96" s="30" t="str">
        <f t="shared" si="145"/>
        <v>-0,120945862433123+0,593775878944169i</v>
      </c>
      <c r="BD96" s="32">
        <f t="shared" si="146"/>
        <v>-4.35100052398554</v>
      </c>
      <c r="BE96" s="31">
        <f t="shared" si="147"/>
        <v>101.513045211341</v>
      </c>
      <c r="BF96" s="30" t="str">
        <f t="shared" si="148"/>
        <v>32,2979551295423+22,482814647356i</v>
      </c>
      <c r="BG96" s="68">
        <f t="shared" si="149"/>
        <v>31.8994903107549</v>
      </c>
      <c r="BH96" s="31">
        <f t="shared" si="150"/>
        <v>34.8420250919362</v>
      </c>
      <c r="BI96" s="30" t="str">
        <f t="shared" si="103"/>
        <v>163,424246514207+135,901963186785i</v>
      </c>
      <c r="BJ96" s="68">
        <f t="shared" si="151"/>
        <v>46.5491573403052</v>
      </c>
      <c r="BK96" s="31">
        <f t="shared" si="104"/>
        <v>39.7465703868962</v>
      </c>
      <c r="BL96" s="32">
        <f t="shared" si="152"/>
        <v>31.8994903107549</v>
      </c>
      <c r="BM96" s="31">
        <f t="shared" si="153"/>
        <v>34.8420250919362</v>
      </c>
      <c r="BO96">
        <f t="shared" si="154"/>
        <v>0</v>
      </c>
      <c r="BP96">
        <f t="shared" si="155"/>
        <v>0</v>
      </c>
    </row>
    <row r="97" spans="14:68">
      <c r="N97" s="7">
        <v>79</v>
      </c>
      <c r="O97" s="18">
        <f t="shared" si="117"/>
        <v>61.6595001861483</v>
      </c>
      <c r="P97" s="86" t="str">
        <f t="shared" si="105"/>
        <v>163,636363636364</v>
      </c>
      <c r="Q97" s="4" t="str">
        <f t="shared" si="106"/>
        <v>1+2,36677218268234i</v>
      </c>
      <c r="R97" s="4">
        <f t="shared" si="118"/>
        <v>2.5693599523459</v>
      </c>
      <c r="S97" s="4">
        <f t="shared" si="119"/>
        <v>1.17103121253152</v>
      </c>
      <c r="T97" s="4" t="str">
        <f t="shared" si="107"/>
        <v>1+0,00607471526888466i</v>
      </c>
      <c r="U97" s="4">
        <f t="shared" si="120"/>
        <v>1.00001845091258</v>
      </c>
      <c r="V97" s="4">
        <f t="shared" si="121"/>
        <v>0.00607464054715615</v>
      </c>
      <c r="W97" t="str">
        <f t="shared" si="108"/>
        <v>1-0,00581127098426467i</v>
      </c>
      <c r="X97" s="4">
        <f t="shared" si="122"/>
        <v>1.00001688529267</v>
      </c>
      <c r="Y97" s="4">
        <f t="shared" si="123"/>
        <v>-0.00581120556836363</v>
      </c>
      <c r="Z97" t="str">
        <f t="shared" si="109"/>
        <v>0,999999968964131+0,00120376327531197i</v>
      </c>
      <c r="AA97" s="4">
        <f t="shared" si="124"/>
        <v>1.0000006934869</v>
      </c>
      <c r="AB97" s="4">
        <f t="shared" si="125"/>
        <v>0.00120376273123613</v>
      </c>
      <c r="AC97" s="67" t="str">
        <f t="shared" si="126"/>
        <v>24,733020291328-58,6913015411746i</v>
      </c>
      <c r="AD97" s="68">
        <f t="shared" si="127"/>
        <v>36.0813982859584</v>
      </c>
      <c r="AE97" s="31">
        <f t="shared" si="128"/>
        <v>-67.1490229677172</v>
      </c>
      <c r="AF97" s="32" t="str">
        <f t="shared" si="129"/>
        <v>748,315388573934</v>
      </c>
      <c r="AG97" s="32" t="str">
        <f t="shared" si="110"/>
        <v>1+1,92848103774116i</v>
      </c>
      <c r="AH97" s="32">
        <f t="shared" si="130"/>
        <v>2.17233494492153</v>
      </c>
      <c r="AI97" s="32">
        <f t="shared" si="131"/>
        <v>1.0924247416247</v>
      </c>
      <c r="AJ97" s="32" t="str">
        <f t="shared" si="111"/>
        <v>1+0,00607471526888466i</v>
      </c>
      <c r="AK97" s="32">
        <f t="shared" si="132"/>
        <v>1.00001845091258</v>
      </c>
      <c r="AL97" s="32">
        <f t="shared" si="133"/>
        <v>0.00607464054715615</v>
      </c>
      <c r="AM97" s="32" t="str">
        <f t="shared" si="112"/>
        <v>1-0,00103541833356281i</v>
      </c>
      <c r="AN97" s="32">
        <f t="shared" si="134"/>
        <v>1.00000053604542</v>
      </c>
      <c r="AO97" s="32">
        <f t="shared" si="135"/>
        <v>-0.00103541796354211</v>
      </c>
      <c r="AP97" s="30" t="str">
        <f t="shared" si="136"/>
        <v>160,115724274826-305,009154663899i</v>
      </c>
      <c r="AQ97" s="32">
        <f t="shared" si="137"/>
        <v>50.74332267327</v>
      </c>
      <c r="AR97" s="31">
        <f t="shared" si="138"/>
        <v>-62.3026009446967</v>
      </c>
      <c r="AS97" t="str">
        <f t="shared" si="113"/>
        <v>-0,0000504684572142411</v>
      </c>
      <c r="AT97" t="str">
        <f t="shared" si="114"/>
        <v>0,0000870528393442846i</v>
      </c>
      <c r="AU97">
        <f t="shared" si="139"/>
        <v>8.70528393442846e-5</v>
      </c>
      <c r="AV97">
        <f t="shared" si="140"/>
        <v>1.5707963267949</v>
      </c>
      <c r="AW97" t="str">
        <f t="shared" si="115"/>
        <v>1+0,00445694570370098i</v>
      </c>
      <c r="AX97">
        <f t="shared" si="141"/>
        <v>1.00000993213318</v>
      </c>
      <c r="AY97">
        <f t="shared" si="142"/>
        <v>0.00445691619258729</v>
      </c>
      <c r="AZ97" t="str">
        <f t="shared" si="116"/>
        <v>1+0,213079936089704i</v>
      </c>
      <c r="BA97">
        <f t="shared" si="143"/>
        <v>1.02244953868834</v>
      </c>
      <c r="BB97">
        <f t="shared" si="144"/>
        <v>0.209940207276109</v>
      </c>
      <c r="BC97" s="30" t="str">
        <f t="shared" si="145"/>
        <v>-0,120945754304385+0,580284150535957i</v>
      </c>
      <c r="BD97" s="32">
        <f t="shared" si="146"/>
        <v>-4.54250684102382</v>
      </c>
      <c r="BE97" s="31">
        <f t="shared" si="147"/>
        <v>101.773325339544</v>
      </c>
      <c r="BF97" s="30" t="str">
        <f t="shared" si="148"/>
        <v>31,0662782633099+21,4506434059453i</v>
      </c>
      <c r="BG97" s="68">
        <f t="shared" si="149"/>
        <v>31.5388914449346</v>
      </c>
      <c r="BH97" s="31">
        <f t="shared" si="150"/>
        <v>34.6243023718267</v>
      </c>
      <c r="BI97" s="30" t="str">
        <f t="shared" si="103"/>
        <v>157,626661171419+129,802179328835i</v>
      </c>
      <c r="BJ97" s="68">
        <f t="shared" si="151"/>
        <v>46.2008158322461</v>
      </c>
      <c r="BK97" s="31">
        <f t="shared" si="104"/>
        <v>39.4707243948473</v>
      </c>
      <c r="BL97" s="32">
        <f t="shared" si="152"/>
        <v>31.5388914449346</v>
      </c>
      <c r="BM97" s="31">
        <f t="shared" si="153"/>
        <v>34.6243023718267</v>
      </c>
      <c r="BO97">
        <f t="shared" si="154"/>
        <v>0</v>
      </c>
      <c r="BP97">
        <f t="shared" si="155"/>
        <v>0</v>
      </c>
    </row>
    <row r="98" spans="14:68">
      <c r="N98" s="7">
        <v>80</v>
      </c>
      <c r="O98" s="18">
        <f t="shared" si="117"/>
        <v>63.0957344480194</v>
      </c>
      <c r="P98" s="86" t="str">
        <f t="shared" si="105"/>
        <v>163,636363636364</v>
      </c>
      <c r="Q98" s="4" t="str">
        <f t="shared" si="106"/>
        <v>1+2,42190138886386i</v>
      </c>
      <c r="R98" s="4">
        <f t="shared" si="118"/>
        <v>2.62023020694379</v>
      </c>
      <c r="S98" s="4">
        <f t="shared" si="119"/>
        <v>1.17922004890145</v>
      </c>
      <c r="T98" s="4" t="str">
        <f t="shared" si="107"/>
        <v>1+0,00621621356475056i</v>
      </c>
      <c r="U98" s="4">
        <f t="shared" si="120"/>
        <v>1.0000193204689</v>
      </c>
      <c r="V98" s="4">
        <f t="shared" si="121"/>
        <v>0.00621613349905949</v>
      </c>
      <c r="W98" t="str">
        <f t="shared" si="108"/>
        <v>1-0,00594663287444251i</v>
      </c>
      <c r="X98" s="4">
        <f t="shared" si="122"/>
        <v>1.00001768106496</v>
      </c>
      <c r="Y98" s="4">
        <f t="shared" si="123"/>
        <v>-0.00594656278010861</v>
      </c>
      <c r="Z98" t="str">
        <f t="shared" si="109"/>
        <v>0,999999967501455+0,00123180252399166i</v>
      </c>
      <c r="AA98" s="4">
        <f t="shared" si="124"/>
        <v>1.00000072616992</v>
      </c>
      <c r="AB98" s="4">
        <f t="shared" si="125"/>
        <v>0.00123180194100392</v>
      </c>
      <c r="AC98" s="67" t="str">
        <f t="shared" si="126"/>
        <v>23,7795264034778-57,7491297287872i</v>
      </c>
      <c r="AD98" s="68">
        <f t="shared" si="127"/>
        <v>35.9111224990375</v>
      </c>
      <c r="AE98" s="31">
        <f t="shared" si="128"/>
        <v>-67.6194637072033</v>
      </c>
      <c r="AF98" s="32" t="str">
        <f t="shared" si="129"/>
        <v>748,315388573934</v>
      </c>
      <c r="AG98" s="32" t="str">
        <f t="shared" si="110"/>
        <v>1+1,97340113166685i</v>
      </c>
      <c r="AH98" s="32">
        <f t="shared" si="130"/>
        <v>2.21230920679366</v>
      </c>
      <c r="AI98" s="32">
        <f t="shared" si="131"/>
        <v>1.10177178728827</v>
      </c>
      <c r="AJ98" s="32" t="str">
        <f t="shared" si="111"/>
        <v>1+0,00621621356475056i</v>
      </c>
      <c r="AK98" s="32">
        <f t="shared" si="132"/>
        <v>1.0000193204689</v>
      </c>
      <c r="AL98" s="32">
        <f t="shared" si="133"/>
        <v>0.00621613349905949</v>
      </c>
      <c r="AM98" s="32" t="str">
        <f t="shared" si="112"/>
        <v>1-0,00105953632481384i</v>
      </c>
      <c r="AN98" s="32">
        <f t="shared" si="134"/>
        <v>1.00000056130845</v>
      </c>
      <c r="AO98" s="32">
        <f t="shared" si="135"/>
        <v>-0.00105953592832953</v>
      </c>
      <c r="AP98" s="30" t="str">
        <f t="shared" si="136"/>
        <v>154,451803382051-300,936542649572i</v>
      </c>
      <c r="AQ98" s="32">
        <f t="shared" si="137"/>
        <v>50.5849496805406</v>
      </c>
      <c r="AR98" s="31">
        <f t="shared" si="138"/>
        <v>-62.8314221207532</v>
      </c>
      <c r="AS98" t="str">
        <f t="shared" si="113"/>
        <v>-0,0000504684572142411</v>
      </c>
      <c r="AT98" t="str">
        <f t="shared" si="114"/>
        <v>0,0000890805604591487i</v>
      </c>
      <c r="AU98">
        <f t="shared" si="139"/>
        <v>8.90805604591487e-5</v>
      </c>
      <c r="AV98">
        <f t="shared" si="140"/>
        <v>1.5707963267949</v>
      </c>
      <c r="AW98" t="str">
        <f t="shared" si="115"/>
        <v>1+0,00456076130557302i</v>
      </c>
      <c r="AX98">
        <f t="shared" si="141"/>
        <v>1.00001040021776</v>
      </c>
      <c r="AY98">
        <f t="shared" si="142"/>
        <v>0.00456072968386274</v>
      </c>
      <c r="AZ98" t="str">
        <f t="shared" si="116"/>
        <v>1+0,218043205396225i</v>
      </c>
      <c r="BA98">
        <f t="shared" si="143"/>
        <v>1.02349540273489</v>
      </c>
      <c r="BB98">
        <f t="shared" si="144"/>
        <v>0.214683082389979</v>
      </c>
      <c r="BC98" s="30" t="str">
        <f t="shared" si="145"/>
        <v>-0,120945641079903+0,567100096419888i</v>
      </c>
      <c r="BD98" s="32">
        <f t="shared" si="146"/>
        <v>-4.73363064772695</v>
      </c>
      <c r="BE98" s="31">
        <f t="shared" si="147"/>
        <v>102.03912399142</v>
      </c>
      <c r="BF98" s="30" t="str">
        <f t="shared" si="148"/>
        <v>29,8735069719147+20,4698772330862i</v>
      </c>
      <c r="BG98" s="68">
        <f t="shared" si="149"/>
        <v>31.1774918513106</v>
      </c>
      <c r="BH98" s="31">
        <f t="shared" si="150"/>
        <v>34.4196602842166</v>
      </c>
      <c r="BI98" s="30" t="str">
        <f t="shared" si="103"/>
        <v>151,980869976851+123,986595665309i</v>
      </c>
      <c r="BJ98" s="68">
        <f t="shared" si="151"/>
        <v>45.8513190328137</v>
      </c>
      <c r="BK98" s="31">
        <f t="shared" si="104"/>
        <v>39.2077018706666</v>
      </c>
      <c r="BL98" s="32">
        <f t="shared" si="152"/>
        <v>31.1774918513106</v>
      </c>
      <c r="BM98" s="31">
        <f t="shared" si="153"/>
        <v>34.4196602842166</v>
      </c>
      <c r="BO98">
        <f t="shared" si="154"/>
        <v>0</v>
      </c>
      <c r="BP98">
        <f t="shared" si="155"/>
        <v>0</v>
      </c>
    </row>
    <row r="99" spans="14:68">
      <c r="N99" s="7">
        <v>81</v>
      </c>
      <c r="O99" s="18">
        <f t="shared" si="117"/>
        <v>64.5654229034656</v>
      </c>
      <c r="P99" s="86" t="str">
        <f t="shared" si="105"/>
        <v>163,636363636364</v>
      </c>
      <c r="Q99" s="4" t="str">
        <f t="shared" si="106"/>
        <v>1+2,47831471921941i</v>
      </c>
      <c r="R99" s="4">
        <f t="shared" si="118"/>
        <v>2.67246026116378</v>
      </c>
      <c r="S99" s="4">
        <f t="shared" si="119"/>
        <v>1.18727635078888</v>
      </c>
      <c r="T99" s="4" t="str">
        <f t="shared" si="107"/>
        <v>1+0,00636100777932982i</v>
      </c>
      <c r="U99" s="4">
        <f t="shared" si="120"/>
        <v>1.00002023100534</v>
      </c>
      <c r="V99" s="4">
        <f t="shared" si="121"/>
        <v>0.00636092198748989</v>
      </c>
      <c r="W99" t="str">
        <f t="shared" si="108"/>
        <v>1-0,00608514774808337i</v>
      </c>
      <c r="X99" s="4">
        <f t="shared" si="122"/>
        <v>1.00001851434017</v>
      </c>
      <c r="Y99" s="4">
        <f t="shared" si="123"/>
        <v>-0.00608507264072651</v>
      </c>
      <c r="Z99" t="str">
        <f t="shared" si="109"/>
        <v>0,999999965969846+0,00126049489067441i</v>
      </c>
      <c r="AA99" s="4">
        <f t="shared" si="124"/>
        <v>1.00000076039324</v>
      </c>
      <c r="AB99" s="4">
        <f t="shared" si="125"/>
        <v>0.00126049426599182</v>
      </c>
      <c r="AC99" s="67" t="str">
        <f t="shared" si="126"/>
        <v>22,8566462478343-56,8070926363501i</v>
      </c>
      <c r="AD99" s="68">
        <f t="shared" si="127"/>
        <v>35.7397012072379</v>
      </c>
      <c r="AE99" s="31">
        <f t="shared" si="128"/>
        <v>-68.0823400140872</v>
      </c>
      <c r="AF99" s="32" t="str">
        <f t="shared" si="129"/>
        <v>748,315388573934</v>
      </c>
      <c r="AG99" s="32" t="str">
        <f t="shared" si="110"/>
        <v>1+2,01936754899359i</v>
      </c>
      <c r="AH99" s="32">
        <f t="shared" si="130"/>
        <v>2.2534074859928</v>
      </c>
      <c r="AI99" s="32">
        <f t="shared" si="131"/>
        <v>1.11099243119384</v>
      </c>
      <c r="AJ99" s="32" t="str">
        <f t="shared" si="111"/>
        <v>1+0,00636100777932982i</v>
      </c>
      <c r="AK99" s="32">
        <f t="shared" si="132"/>
        <v>1.00002023100534</v>
      </c>
      <c r="AL99" s="32">
        <f t="shared" si="133"/>
        <v>0.00636092198748989</v>
      </c>
      <c r="AM99" s="32" t="str">
        <f t="shared" si="112"/>
        <v>1-0,0010842160962489i</v>
      </c>
      <c r="AN99" s="32">
        <f t="shared" si="134"/>
        <v>1.0000005877621</v>
      </c>
      <c r="AO99" s="32">
        <f t="shared" si="135"/>
        <v>-0.00108421567140832</v>
      </c>
      <c r="AP99" s="30" t="str">
        <f t="shared" si="136"/>
        <v>148,940030795792-296,815960516379i</v>
      </c>
      <c r="AQ99" s="32">
        <f t="shared" si="137"/>
        <v>50.4250796983175</v>
      </c>
      <c r="AR99" s="31">
        <f t="shared" si="138"/>
        <v>-63.3528443767439</v>
      </c>
      <c r="AS99" t="str">
        <f t="shared" si="113"/>
        <v>-0,0000504684572142411</v>
      </c>
      <c r="AT99" t="str">
        <f t="shared" si="114"/>
        <v>0,0000911555132662889i</v>
      </c>
      <c r="AU99">
        <f t="shared" si="139"/>
        <v>9.11555132662889e-5</v>
      </c>
      <c r="AV99">
        <f t="shared" si="140"/>
        <v>1.5707963267949</v>
      </c>
      <c r="AW99" t="str">
        <f t="shared" si="115"/>
        <v>1+0,00466699508345809i</v>
      </c>
      <c r="AX99">
        <f t="shared" si="141"/>
        <v>1.00001089036225</v>
      </c>
      <c r="AY99">
        <f t="shared" si="142"/>
        <v>0.00466696120020499</v>
      </c>
      <c r="AZ99" t="str">
        <f t="shared" si="116"/>
        <v>1+0,22312208409639i</v>
      </c>
      <c r="BA99">
        <f t="shared" si="143"/>
        <v>1.02458941259976</v>
      </c>
      <c r="BB99">
        <f t="shared" si="144"/>
        <v>0.219526297720768</v>
      </c>
      <c r="BC99" s="30" t="str">
        <f t="shared" si="145"/>
        <v>-0,120945522519543+0,55421672623272i</v>
      </c>
      <c r="BD99" s="32">
        <f t="shared" si="146"/>
        <v>-4.92435555313068</v>
      </c>
      <c r="BE99" s="31">
        <f t="shared" si="147"/>
        <v>102.310533171609</v>
      </c>
      <c r="BF99" s="30" t="str">
        <f t="shared" si="148"/>
        <v>28,7190318842281+19,5380991578536i</v>
      </c>
      <c r="BG99" s="68">
        <f t="shared" si="149"/>
        <v>30.8153456541073</v>
      </c>
      <c r="BH99" s="31">
        <f t="shared" si="150"/>
        <v>34.2281931575222</v>
      </c>
      <c r="BI99" s="30" t="str">
        <f t="shared" si="103"/>
        <v>146,486740082334+118,443617709438i</v>
      </c>
      <c r="BJ99" s="68">
        <f t="shared" si="151"/>
        <v>45.5007241451869</v>
      </c>
      <c r="BK99" s="31">
        <f t="shared" si="104"/>
        <v>38.9576887948654</v>
      </c>
      <c r="BL99" s="32">
        <f t="shared" si="152"/>
        <v>30.8153456541073</v>
      </c>
      <c r="BM99" s="31">
        <f t="shared" si="153"/>
        <v>34.2281931575222</v>
      </c>
      <c r="BO99">
        <f t="shared" si="154"/>
        <v>0</v>
      </c>
      <c r="BP99">
        <f t="shared" si="155"/>
        <v>0</v>
      </c>
    </row>
    <row r="100" spans="14:68">
      <c r="N100" s="7">
        <v>82</v>
      </c>
      <c r="O100" s="18">
        <f t="shared" si="117"/>
        <v>66.0693448007596</v>
      </c>
      <c r="P100" s="86" t="str">
        <f t="shared" si="105"/>
        <v>163,636363636364</v>
      </c>
      <c r="Q100" s="4" t="str">
        <f t="shared" si="106"/>
        <v>1+2,53604208484347i</v>
      </c>
      <c r="R100" s="4">
        <f t="shared" si="118"/>
        <v>2.72607950289371</v>
      </c>
      <c r="S100" s="4">
        <f t="shared" si="119"/>
        <v>1.195200205617</v>
      </c>
      <c r="T100" s="4" t="str">
        <f t="shared" si="107"/>
        <v>1+0,00650917468443157i</v>
      </c>
      <c r="U100" s="4">
        <f t="shared" si="120"/>
        <v>1.00002118445315</v>
      </c>
      <c r="V100" s="4">
        <f t="shared" si="121"/>
        <v>0.00650908275692403</v>
      </c>
      <c r="W100" t="str">
        <f t="shared" si="108"/>
        <v>1-0,00622688904760673i</v>
      </c>
      <c r="X100" s="4">
        <f t="shared" si="122"/>
        <v>1.00001938688568</v>
      </c>
      <c r="Y100" s="4">
        <f t="shared" si="123"/>
        <v>-0.00622680856870816</v>
      </c>
      <c r="Z100" t="str">
        <f t="shared" si="109"/>
        <v>0,999999964366055+0,00128985558843282i</v>
      </c>
      <c r="AA100" s="4">
        <f t="shared" si="124"/>
        <v>1.00000079622946</v>
      </c>
      <c r="AB100" s="4">
        <f t="shared" si="125"/>
        <v>0.00128985491907339</v>
      </c>
      <c r="AC100" s="67" t="str">
        <f t="shared" si="126"/>
        <v>21,963860648638-55,8661583276093i</v>
      </c>
      <c r="AD100" s="68">
        <f t="shared" si="127"/>
        <v>35.5671715301388</v>
      </c>
      <c r="AE100" s="31">
        <f t="shared" si="128"/>
        <v>-68.5376575784194</v>
      </c>
      <c r="AF100" s="32" t="str">
        <f t="shared" si="129"/>
        <v>748,315388573934</v>
      </c>
      <c r="AG100" s="32" t="str">
        <f t="shared" si="110"/>
        <v>1+2,06640466172431i</v>
      </c>
      <c r="AH100" s="32">
        <f t="shared" si="130"/>
        <v>2.29565420436005</v>
      </c>
      <c r="AI100" s="32">
        <f t="shared" si="131"/>
        <v>1.12008528977971</v>
      </c>
      <c r="AJ100" s="32" t="str">
        <f t="shared" si="111"/>
        <v>1+0,00650917468443157i</v>
      </c>
      <c r="AK100" s="32">
        <f t="shared" si="132"/>
        <v>1.00002118445315</v>
      </c>
      <c r="AL100" s="32">
        <f t="shared" si="133"/>
        <v>0.00650908275692403</v>
      </c>
      <c r="AM100" s="32" t="str">
        <f t="shared" si="112"/>
        <v>1-0,0011094707334095i</v>
      </c>
      <c r="AN100" s="32">
        <f t="shared" si="134"/>
        <v>1.00000061546246</v>
      </c>
      <c r="AO100" s="32">
        <f t="shared" si="135"/>
        <v>-0.00110947027818463</v>
      </c>
      <c r="AP100" s="30" t="str">
        <f t="shared" si="136"/>
        <v>143,57996645871-292,653630460204i</v>
      </c>
      <c r="AQ100" s="32">
        <f t="shared" si="137"/>
        <v>50.2637534623793</v>
      </c>
      <c r="AR100" s="31">
        <f t="shared" si="138"/>
        <v>-63.8667847930272</v>
      </c>
      <c r="AS100" t="str">
        <f t="shared" si="113"/>
        <v>-0,0000504684572142411</v>
      </c>
      <c r="AT100" t="str">
        <f t="shared" si="114"/>
        <v>0,0000932787979331487i</v>
      </c>
      <c r="AU100">
        <f t="shared" si="139"/>
        <v>9.32787979331487e-5</v>
      </c>
      <c r="AV100">
        <f t="shared" si="140"/>
        <v>1.5707963267949</v>
      </c>
      <c r="AW100" t="str">
        <f t="shared" si="115"/>
        <v>1+0,0047757033639114i</v>
      </c>
      <c r="AX100">
        <f t="shared" si="141"/>
        <v>1.00001140360629</v>
      </c>
      <c r="AY100">
        <f t="shared" si="142"/>
        <v>0.00477566705737394</v>
      </c>
      <c r="AZ100" t="str">
        <f t="shared" si="116"/>
        <v>1+0,228319265078913i</v>
      </c>
      <c r="BA100">
        <f t="shared" si="143"/>
        <v>1.02573373094881</v>
      </c>
      <c r="BB100">
        <f t="shared" si="144"/>
        <v>0.224471511941757</v>
      </c>
      <c r="BC100" s="30" t="str">
        <f t="shared" si="145"/>
        <v>-0,120945398371855+0,541627209037553i</v>
      </c>
      <c r="BD100" s="32">
        <f t="shared" si="146"/>
        <v>-5.11466454041977</v>
      </c>
      <c r="BE100" s="31">
        <f t="shared" si="147"/>
        <v>102.587644688436</v>
      </c>
      <c r="BF100" s="30" t="str">
        <f t="shared" si="148"/>
        <v>27,6022035386996+18,6529793172494i</v>
      </c>
      <c r="BG100" s="68">
        <f t="shared" si="149"/>
        <v>30.4525069897191</v>
      </c>
      <c r="BH100" s="31">
        <f t="shared" si="150"/>
        <v>34.0499871100166</v>
      </c>
      <c r="BI100" s="30" t="str">
        <f t="shared" si="103"/>
        <v>141,143832839301+113,161926427716i</v>
      </c>
      <c r="BJ100" s="68">
        <f t="shared" si="151"/>
        <v>45.1490889219596</v>
      </c>
      <c r="BK100" s="31">
        <f t="shared" si="104"/>
        <v>38.720859895409</v>
      </c>
      <c r="BL100" s="32">
        <f t="shared" si="152"/>
        <v>30.4525069897191</v>
      </c>
      <c r="BM100" s="31">
        <f t="shared" si="153"/>
        <v>34.0499871100166</v>
      </c>
      <c r="BO100">
        <f t="shared" si="154"/>
        <v>0</v>
      </c>
      <c r="BP100">
        <f t="shared" si="155"/>
        <v>0</v>
      </c>
    </row>
    <row r="101" spans="14:68">
      <c r="N101" s="7">
        <v>83</v>
      </c>
      <c r="O101" s="18">
        <f t="shared" si="117"/>
        <v>67.6082975391982</v>
      </c>
      <c r="P101" s="86" t="str">
        <f t="shared" si="105"/>
        <v>163,636363636364</v>
      </c>
      <c r="Q101" s="4" t="str">
        <f t="shared" si="106"/>
        <v>1+2,5951140935494i</v>
      </c>
      <c r="R101" s="4">
        <f t="shared" si="118"/>
        <v>2.7811179691877</v>
      </c>
      <c r="S101" s="4">
        <f t="shared" si="119"/>
        <v>1.20299183353147</v>
      </c>
      <c r="T101" s="4" t="str">
        <f t="shared" si="107"/>
        <v>1+0,00666079284011011i</v>
      </c>
      <c r="U101" s="4">
        <f t="shared" si="120"/>
        <v>1.00002218283459</v>
      </c>
      <c r="V101" s="4">
        <f t="shared" si="121"/>
        <v>0.0066606943381291</v>
      </c>
      <c r="W101" t="str">
        <f t="shared" si="108"/>
        <v>1-0,00637193192612575i</v>
      </c>
      <c r="X101" s="4">
        <f t="shared" si="122"/>
        <v>1.00002030055218</v>
      </c>
      <c r="Y101" s="4">
        <f t="shared" si="123"/>
        <v>-0.00637184569152681</v>
      </c>
      <c r="Z101" t="str">
        <f t="shared" si="109"/>
        <v>0,999999962686678+0,00131990018469748i</v>
      </c>
      <c r="AA101" s="4">
        <f t="shared" si="124"/>
        <v>1.00000083375458</v>
      </c>
      <c r="AB101" s="4">
        <f t="shared" si="125"/>
        <v>0.00131989946746596</v>
      </c>
      <c r="AC101" s="67" t="str">
        <f t="shared" si="126"/>
        <v>21,1006220078329-54,92724595943i</v>
      </c>
      <c r="AD101" s="68">
        <f t="shared" si="127"/>
        <v>35.393569936779</v>
      </c>
      <c r="AE101" s="31">
        <f t="shared" si="128"/>
        <v>-68.985429710557</v>
      </c>
      <c r="AF101" s="32" t="str">
        <f t="shared" si="129"/>
        <v>748,315388573934</v>
      </c>
      <c r="AG101" s="32" t="str">
        <f t="shared" si="110"/>
        <v>1+2,11453740955877i</v>
      </c>
      <c r="AH101" s="32">
        <f t="shared" si="130"/>
        <v>2.33907427338755</v>
      </c>
      <c r="AI101" s="32">
        <f t="shared" si="131"/>
        <v>1.12904916884608</v>
      </c>
      <c r="AJ101" s="32" t="str">
        <f t="shared" si="111"/>
        <v>1+0,00666079284011011i</v>
      </c>
      <c r="AK101" s="32">
        <f t="shared" si="132"/>
        <v>1.00002218283459</v>
      </c>
      <c r="AL101" s="32">
        <f t="shared" si="133"/>
        <v>0.0066606943381291</v>
      </c>
      <c r="AM101" s="32" t="str">
        <f t="shared" si="112"/>
        <v>1-0,00113531362663853i</v>
      </c>
      <c r="AN101" s="32">
        <f t="shared" si="134"/>
        <v>1.00000064446831</v>
      </c>
      <c r="AO101" s="32">
        <f t="shared" si="135"/>
        <v>-0.00113531313885632</v>
      </c>
      <c r="AP101" s="30" t="str">
        <f t="shared" si="136"/>
        <v>138,370881467499-288,455604131963i</v>
      </c>
      <c r="AQ101" s="32">
        <f t="shared" si="137"/>
        <v>50.1010115522913</v>
      </c>
      <c r="AR101" s="31">
        <f t="shared" si="138"/>
        <v>-64.3731712147146</v>
      </c>
      <c r="AS101" t="str">
        <f t="shared" si="113"/>
        <v>-0,0000504684572142411</v>
      </c>
      <c r="AT101" t="str">
        <f t="shared" si="114"/>
        <v>0,0000954515402533636i</v>
      </c>
      <c r="AU101">
        <f t="shared" si="139"/>
        <v>9.54515402533636e-5</v>
      </c>
      <c r="AV101">
        <f t="shared" si="140"/>
        <v>1.5707963267949</v>
      </c>
      <c r="AW101" t="str">
        <f t="shared" si="115"/>
        <v>1+0,00488694378550216i</v>
      </c>
      <c r="AX101">
        <f t="shared" si="141"/>
        <v>1.00001194103849</v>
      </c>
      <c r="AY101">
        <f t="shared" si="142"/>
        <v>0.00488690488237146</v>
      </c>
      <c r="AZ101" t="str">
        <f t="shared" si="116"/>
        <v>1+0,233637503957944i</v>
      </c>
      <c r="BA101">
        <f t="shared" si="143"/>
        <v>1.02693061267824</v>
      </c>
      <c r="BB101">
        <f t="shared" si="144"/>
        <v>0.229520379146161</v>
      </c>
      <c r="BC101" s="30" t="str">
        <f t="shared" si="145"/>
        <v>-0,12094526837354+0,529324869702009i</v>
      </c>
      <c r="BD101" s="32">
        <f t="shared" si="146"/>
        <v>-5.30453995002521</v>
      </c>
      <c r="BE101" s="31">
        <f t="shared" si="147"/>
        <v>102.870550012676</v>
      </c>
      <c r="BF101" s="30" t="str">
        <f t="shared" si="148"/>
        <v>26,5223369189795+17,8122744985102i</v>
      </c>
      <c r="BG101" s="68">
        <f t="shared" si="149"/>
        <v>30.0890299867538</v>
      </c>
      <c r="BH101" s="31">
        <f t="shared" si="150"/>
        <v>33.8851203021187</v>
      </c>
      <c r="BI101" s="30" t="str">
        <f t="shared" si="103"/>
        <v>135,951421677796+108,130489258928i</v>
      </c>
      <c r="BJ101" s="68">
        <f t="shared" si="151"/>
        <v>44.7964716022661</v>
      </c>
      <c r="BK101" s="31">
        <f t="shared" si="104"/>
        <v>38.497378797961</v>
      </c>
      <c r="BL101" s="32">
        <f t="shared" si="152"/>
        <v>30.0890299867538</v>
      </c>
      <c r="BM101" s="31">
        <f t="shared" si="153"/>
        <v>33.8851203021187</v>
      </c>
      <c r="BO101">
        <f t="shared" si="154"/>
        <v>0</v>
      </c>
      <c r="BP101">
        <f t="shared" si="155"/>
        <v>0</v>
      </c>
    </row>
    <row r="102" spans="14:68">
      <c r="N102" s="7">
        <v>84</v>
      </c>
      <c r="O102" s="18">
        <f t="shared" si="117"/>
        <v>69.1830970918937</v>
      </c>
      <c r="P102" s="86" t="str">
        <f t="shared" si="105"/>
        <v>163,636363636364</v>
      </c>
      <c r="Q102" s="4" t="str">
        <f t="shared" si="106"/>
        <v>1+2,65556206609812i</v>
      </c>
      <c r="R102" s="4">
        <f t="shared" si="118"/>
        <v>2.83760636574196</v>
      </c>
      <c r="S102" s="4">
        <f t="shared" si="119"/>
        <v>1.21065158052734</v>
      </c>
      <c r="T102" s="4" t="str">
        <f t="shared" si="107"/>
        <v>1+0,0068159426363185i</v>
      </c>
      <c r="U102" s="4">
        <f t="shared" si="120"/>
        <v>1.00002322826723</v>
      </c>
      <c r="V102" s="4">
        <f t="shared" si="121"/>
        <v>0.00681583708967666</v>
      </c>
      <c r="W102" t="str">
        <f t="shared" si="108"/>
        <v>1-0,00652035328729448i</v>
      </c>
      <c r="X102" s="4">
        <f t="shared" si="122"/>
        <v>1.00002125727756</v>
      </c>
      <c r="Y102" s="4">
        <f t="shared" si="123"/>
        <v>-0.00652026088536302</v>
      </c>
      <c r="Z102" t="str">
        <f t="shared" si="109"/>
        <v>0,999999960928156+0,001350644609511i</v>
      </c>
      <c r="AA102" s="4">
        <f t="shared" si="124"/>
        <v>1.00000087304821</v>
      </c>
      <c r="AB102" s="4">
        <f t="shared" si="125"/>
        <v>0.00135064384098362</v>
      </c>
      <c r="AC102" s="67" t="str">
        <f t="shared" si="126"/>
        <v>20,2663577953693-53,9912259084415i</v>
      </c>
      <c r="AD102" s="68">
        <f t="shared" si="127"/>
        <v>35.2189322131484</v>
      </c>
      <c r="AE102" s="31">
        <f t="shared" si="128"/>
        <v>-69.425676947741</v>
      </c>
      <c r="AF102" s="32" t="str">
        <f t="shared" si="129"/>
        <v>748,315388573934</v>
      </c>
      <c r="AG102" s="32" t="str">
        <f t="shared" si="110"/>
        <v>1+2,16379131311698i</v>
      </c>
      <c r="AH102" s="32">
        <f t="shared" si="130"/>
        <v>2.38369311085142</v>
      </c>
      <c r="AI102" s="32">
        <f t="shared" si="131"/>
        <v>1.13788305810365</v>
      </c>
      <c r="AJ102" s="32" t="str">
        <f t="shared" si="111"/>
        <v>1+0,0068159426363185i</v>
      </c>
      <c r="AK102" s="32">
        <f t="shared" si="132"/>
        <v>1.00002322826723</v>
      </c>
      <c r="AL102" s="32">
        <f t="shared" si="133"/>
        <v>0.00681583708967666</v>
      </c>
      <c r="AM102" s="32" t="str">
        <f t="shared" si="112"/>
        <v>1-0,00116175847818005i</v>
      </c>
      <c r="AN102" s="32">
        <f t="shared" si="134"/>
        <v>1.00000067484115</v>
      </c>
      <c r="AO102" s="32">
        <f t="shared" si="135"/>
        <v>-0.00116175795551201</v>
      </c>
      <c r="AP102" s="30" t="str">
        <f t="shared" si="136"/>
        <v>133,311776363533-284,22775061624i</v>
      </c>
      <c r="AQ102" s="32">
        <f t="shared" si="137"/>
        <v>49.9368943164863</v>
      </c>
      <c r="AR102" s="31">
        <f t="shared" si="138"/>
        <v>-64.8719419373582</v>
      </c>
      <c r="AS102" t="str">
        <f t="shared" si="113"/>
        <v>-0,0000504684572142411</v>
      </c>
      <c r="AT102" t="str">
        <f t="shared" si="114"/>
        <v>0,0000976748922436713i</v>
      </c>
      <c r="AU102">
        <f t="shared" si="139"/>
        <v>9.76748922436713e-5</v>
      </c>
      <c r="AV102">
        <f t="shared" si="140"/>
        <v>1.5707963267949</v>
      </c>
      <c r="AW102" t="str">
        <f t="shared" si="115"/>
        <v>1+0,00500077532937434i</v>
      </c>
      <c r="AX102">
        <f t="shared" si="141"/>
        <v>1.00001250379877</v>
      </c>
      <c r="AY102">
        <f t="shared" si="142"/>
        <v>0.00500073364394691</v>
      </c>
      <c r="AZ102" t="str">
        <f t="shared" si="116"/>
        <v>1+0,239079620534131i</v>
      </c>
      <c r="BA102">
        <f t="shared" si="143"/>
        <v>1.0281824084056</v>
      </c>
      <c r="BB102">
        <f t="shared" si="144"/>
        <v>0.234674546242204</v>
      </c>
      <c r="BC102" s="30" t="str">
        <f t="shared" si="145"/>
        <v>-0,120945132248892+0,517303185358924i</v>
      </c>
      <c r="BD102" s="32">
        <f t="shared" si="146"/>
        <v>-5.49396346293195</v>
      </c>
      <c r="BE102" s="31">
        <f t="shared" si="147"/>
        <v>103.159340126559</v>
      </c>
      <c r="BF102" s="30" t="str">
        <f t="shared" si="148"/>
        <v>25,4787158201057+17,0138274009445i</v>
      </c>
      <c r="BG102" s="68">
        <f t="shared" si="149"/>
        <v>29.7249687502164</v>
      </c>
      <c r="BH102" s="31">
        <f t="shared" si="150"/>
        <v>33.7336631788178</v>
      </c>
      <c r="BI102" s="30" t="str">
        <f t="shared" si="103"/>
        <v>130,908510338561+103,338569445798i</v>
      </c>
      <c r="BJ102" s="68">
        <f t="shared" si="151"/>
        <v>44.4429308535544</v>
      </c>
      <c r="BK102" s="31">
        <f t="shared" si="104"/>
        <v>38.2873981892003</v>
      </c>
      <c r="BL102" s="32">
        <f t="shared" si="152"/>
        <v>29.7249687502164</v>
      </c>
      <c r="BM102" s="31">
        <f t="shared" si="153"/>
        <v>33.7336631788178</v>
      </c>
      <c r="BO102">
        <f t="shared" si="154"/>
        <v>0</v>
      </c>
      <c r="BP102">
        <f t="shared" si="155"/>
        <v>0</v>
      </c>
    </row>
    <row r="103" spans="14:68">
      <c r="N103" s="7">
        <v>85</v>
      </c>
      <c r="O103" s="18">
        <f t="shared" si="117"/>
        <v>70.7945784384139</v>
      </c>
      <c r="P103" s="86" t="str">
        <f t="shared" si="105"/>
        <v>163,636363636364</v>
      </c>
      <c r="Q103" s="4" t="str">
        <f t="shared" si="106"/>
        <v>1+2,71741805280481i</v>
      </c>
      <c r="R103" s="4">
        <f t="shared" si="118"/>
        <v>2.89557608667248</v>
      </c>
      <c r="S103" s="4">
        <f t="shared" si="119"/>
        <v>1.21817991160919</v>
      </c>
      <c r="T103" s="4" t="str">
        <f t="shared" si="107"/>
        <v>1+0,00697470633553234i</v>
      </c>
      <c r="U103" s="4">
        <f t="shared" si="120"/>
        <v>1.00002432296843</v>
      </c>
      <c r="V103" s="4">
        <f t="shared" si="121"/>
        <v>0.00697459324041657</v>
      </c>
      <c r="W103" t="str">
        <f t="shared" si="108"/>
        <v>1-0,00667223182608323i</v>
      </c>
      <c r="X103" s="4">
        <f t="shared" si="122"/>
        <v>1.00002225909104</v>
      </c>
      <c r="Y103" s="4">
        <f t="shared" si="123"/>
        <v>-0.00667213281574885</v>
      </c>
      <c r="Z103" t="str">
        <f t="shared" si="109"/>
        <v>0,999999959086756+0,00138210516397438i</v>
      </c>
      <c r="AA103" s="4">
        <f t="shared" si="124"/>
        <v>1.00000091419368</v>
      </c>
      <c r="AB103" s="4">
        <f t="shared" si="125"/>
        <v>0.0013821043404825</v>
      </c>
      <c r="AC103" s="67" t="str">
        <f t="shared" si="126"/>
        <v>19,4604738932202-53,0589201118407i</v>
      </c>
      <c r="AD103" s="68">
        <f t="shared" si="127"/>
        <v>35.0432934338588</v>
      </c>
      <c r="AE103" s="31">
        <f t="shared" si="128"/>
        <v>-69.8584266625797</v>
      </c>
      <c r="AF103" s="32" t="str">
        <f t="shared" si="129"/>
        <v>748,315388573934</v>
      </c>
      <c r="AG103" s="32" t="str">
        <f t="shared" si="110"/>
        <v>1+2,21419248747058i</v>
      </c>
      <c r="AH103" s="32">
        <f t="shared" si="130"/>
        <v>2.4295366577953</v>
      </c>
      <c r="AI103" s="32">
        <f t="shared" si="131"/>
        <v>1.14658612537793</v>
      </c>
      <c r="AJ103" s="32" t="str">
        <f t="shared" si="111"/>
        <v>1+0,00697470633553234i</v>
      </c>
      <c r="AK103" s="32">
        <f t="shared" si="132"/>
        <v>1.00002432296843</v>
      </c>
      <c r="AL103" s="32">
        <f t="shared" si="133"/>
        <v>0.00697459324041657</v>
      </c>
      <c r="AM103" s="32" t="str">
        <f t="shared" si="112"/>
        <v>1-0,0011888193094444i</v>
      </c>
      <c r="AN103" s="32">
        <f t="shared" si="134"/>
        <v>1.00000070664543</v>
      </c>
      <c r="AO103" s="32">
        <f t="shared" si="135"/>
        <v>-0.00118881874939553</v>
      </c>
      <c r="AP103" s="30" t="str">
        <f t="shared" si="136"/>
        <v>128,401399619912-279,975746120944i</v>
      </c>
      <c r="AQ103" s="32">
        <f t="shared" si="137"/>
        <v>49.7714418022796</v>
      </c>
      <c r="AR103" s="31">
        <f t="shared" si="138"/>
        <v>-65.363045372863</v>
      </c>
      <c r="AS103" t="str">
        <f t="shared" si="113"/>
        <v>-0,0000504684572142411</v>
      </c>
      <c r="AT103" t="str">
        <f t="shared" si="114"/>
        <v>0,0000999500327547267i</v>
      </c>
      <c r="AU103">
        <f t="shared" si="139"/>
        <v>9.99500327547267e-5</v>
      </c>
      <c r="AV103">
        <f t="shared" si="140"/>
        <v>1.5707963267949</v>
      </c>
      <c r="AW103" t="str">
        <f t="shared" si="115"/>
        <v>1+0,00511725835051925i</v>
      </c>
      <c r="AX103">
        <f t="shared" si="141"/>
        <v>1.0000130930808</v>
      </c>
      <c r="AY103">
        <f t="shared" si="142"/>
        <v>0.00511721368381059</v>
      </c>
      <c r="AZ103" t="str">
        <f t="shared" si="116"/>
        <v>1+0,244648500289718i</v>
      </c>
      <c r="BA103">
        <f t="shared" si="143"/>
        <v>1.02949156805387</v>
      </c>
      <c r="BB103">
        <f t="shared" si="144"/>
        <v>0.239935650172148</v>
      </c>
      <c r="BC103" s="30" t="str">
        <f t="shared" si="145"/>
        <v>-0,120944989709216+0,505555781947855i</v>
      </c>
      <c r="BD103" s="32">
        <f t="shared" si="146"/>
        <v>-5.68291608427412</v>
      </c>
      <c r="BE103" s="31">
        <f t="shared" si="147"/>
        <v>103.454105362643</v>
      </c>
      <c r="BF103" s="30" t="str">
        <f t="shared" si="148"/>
        <v>24,4705970316984+16,2555656430714i</v>
      </c>
      <c r="BG103" s="68">
        <f t="shared" si="149"/>
        <v>29.3603773495847</v>
      </c>
      <c r="BH103" s="31">
        <f t="shared" si="150"/>
        <v>33.5956787000627</v>
      </c>
      <c r="BI103" s="30" t="str">
        <f t="shared" si="103"/>
        <v>126,013851300929+98,7757337214713i</v>
      </c>
      <c r="BJ103" s="68">
        <f t="shared" si="151"/>
        <v>44.0885257180055</v>
      </c>
      <c r="BK103" s="31">
        <f t="shared" si="104"/>
        <v>38.0910599897795</v>
      </c>
      <c r="BL103" s="32">
        <f t="shared" si="152"/>
        <v>29.3603773495847</v>
      </c>
      <c r="BM103" s="31">
        <f t="shared" si="153"/>
        <v>33.5956787000627</v>
      </c>
      <c r="BO103">
        <f t="shared" si="154"/>
        <v>0</v>
      </c>
      <c r="BP103">
        <f t="shared" si="155"/>
        <v>0</v>
      </c>
    </row>
    <row r="104" spans="14:68">
      <c r="N104" s="7">
        <v>86</v>
      </c>
      <c r="O104" s="18">
        <f t="shared" si="117"/>
        <v>72.443596007499</v>
      </c>
      <c r="P104" s="86" t="str">
        <f t="shared" si="105"/>
        <v>163,636363636364</v>
      </c>
      <c r="Q104" s="4" t="str">
        <f t="shared" si="106"/>
        <v>1+2,78071485053236i</v>
      </c>
      <c r="R104" s="4">
        <f t="shared" si="118"/>
        <v>2.95505923459602</v>
      </c>
      <c r="S104" s="4">
        <f t="shared" si="119"/>
        <v>1.22557740401309</v>
      </c>
      <c r="T104" s="4" t="str">
        <f t="shared" si="107"/>
        <v>1+0,0071371681163664i</v>
      </c>
      <c r="U104" s="4">
        <f t="shared" si="120"/>
        <v>1.00002546926002</v>
      </c>
      <c r="V104" s="4">
        <f t="shared" si="121"/>
        <v>0.00713704693293321</v>
      </c>
      <c r="W104" t="str">
        <f t="shared" si="108"/>
        <v>1-0,00682764807050357i</v>
      </c>
      <c r="X104" s="4">
        <f t="shared" si="122"/>
        <v>1.00002330811745</v>
      </c>
      <c r="Y104" s="4">
        <f t="shared" si="123"/>
        <v>-0.00682754197915242</v>
      </c>
      <c r="Z104" t="str">
        <f t="shared" si="109"/>
        <v>0,999999957158575+0,00141429852889002i</v>
      </c>
      <c r="AA104" s="4">
        <f t="shared" si="124"/>
        <v>1.00000095727828</v>
      </c>
      <c r="AB104" s="4">
        <f t="shared" si="125"/>
        <v>0.00141429764650261</v>
      </c>
      <c r="AC104" s="67" t="str">
        <f t="shared" si="126"/>
        <v>18,6823577845591-52,1311026017333i</v>
      </c>
      <c r="AD104" s="68">
        <f t="shared" si="127"/>
        <v>34.8666879378102</v>
      </c>
      <c r="AE104" s="31">
        <f t="shared" si="128"/>
        <v>-70.2837126750796</v>
      </c>
      <c r="AF104" s="32" t="str">
        <f t="shared" si="129"/>
        <v>748,315388573934</v>
      </c>
      <c r="AG104" s="32" t="str">
        <f t="shared" si="110"/>
        <v>1+2,26576765598933i</v>
      </c>
      <c r="AH104" s="32">
        <f t="shared" si="130"/>
        <v>2.47663139585353</v>
      </c>
      <c r="AI104" s="32">
        <f t="shared" si="131"/>
        <v>1.15515771052102</v>
      </c>
      <c r="AJ104" s="32" t="str">
        <f t="shared" si="111"/>
        <v>1+0,0071371681163664i</v>
      </c>
      <c r="AK104" s="32">
        <f t="shared" si="132"/>
        <v>1.00002546926002</v>
      </c>
      <c r="AL104" s="32">
        <f t="shared" si="133"/>
        <v>0.00713704693293321</v>
      </c>
      <c r="AM104" s="32" t="str">
        <f t="shared" si="112"/>
        <v>1-0,0012165104684425i</v>
      </c>
      <c r="AN104" s="32">
        <f t="shared" si="134"/>
        <v>1.00000073994859</v>
      </c>
      <c r="AO104" s="32">
        <f t="shared" si="135"/>
        <v>-0.00121650986833934</v>
      </c>
      <c r="AP104" s="30" t="str">
        <f t="shared" si="136"/>
        <v>123,63826617866-275,705065321788i</v>
      </c>
      <c r="AQ104" s="32">
        <f t="shared" si="137"/>
        <v>49.6046936908484</v>
      </c>
      <c r="AR104" s="31">
        <f t="shared" si="138"/>
        <v>-65.8464396985971</v>
      </c>
      <c r="AS104" t="str">
        <f t="shared" si="113"/>
        <v>-0,0000504684572142411</v>
      </c>
      <c r="AT104" t="str">
        <f t="shared" si="114"/>
        <v>0,000102278168096144i</v>
      </c>
      <c r="AU104">
        <f t="shared" si="139"/>
        <v>0.000102278168096144</v>
      </c>
      <c r="AV104">
        <f t="shared" si="140"/>
        <v>1.5707963267949</v>
      </c>
      <c r="AW104" t="str">
        <f t="shared" si="115"/>
        <v>1+0,00523645460977651i</v>
      </c>
      <c r="AX104">
        <f t="shared" si="141"/>
        <v>1.00001371013446</v>
      </c>
      <c r="AY104">
        <f t="shared" si="142"/>
        <v>0.00523640674857132</v>
      </c>
      <c r="AZ104" t="str">
        <f t="shared" si="116"/>
        <v>1+0,250347095918464i</v>
      </c>
      <c r="BA104">
        <f t="shared" si="143"/>
        <v>1.03086064452709</v>
      </c>
      <c r="BB104">
        <f t="shared" si="144"/>
        <v>0.245305314949208</v>
      </c>
      <c r="BC104" s="30" t="str">
        <f t="shared" si="145"/>
        <v>-0,120944840452211+0,494076430835428i</v>
      </c>
      <c r="BD104" s="32">
        <f t="shared" si="146"/>
        <v>-5.87137812730688</v>
      </c>
      <c r="BE104" s="31">
        <f t="shared" si="147"/>
        <v>103.75493523221</v>
      </c>
      <c r="BF104" s="30" t="str">
        <f t="shared" si="148"/>
        <v>23,4972143274553+15,5355005405499i</v>
      </c>
      <c r="BG104" s="68">
        <f t="shared" si="149"/>
        <v>28.9953098105033</v>
      </c>
      <c r="BH104" s="31">
        <f t="shared" si="150"/>
        <v>33.4712225571305</v>
      </c>
      <c r="BI104" s="30" t="str">
        <f t="shared" si="103"/>
        <v>121,265964260672+94,431858405443i</v>
      </c>
      <c r="BJ104" s="68">
        <f t="shared" si="151"/>
        <v>43.7333155635415</v>
      </c>
      <c r="BK104" s="31">
        <f t="shared" si="104"/>
        <v>37.9084955336128</v>
      </c>
      <c r="BL104" s="32">
        <f t="shared" si="152"/>
        <v>28.9953098105033</v>
      </c>
      <c r="BM104" s="31">
        <f t="shared" si="153"/>
        <v>33.4712225571305</v>
      </c>
      <c r="BO104">
        <f t="shared" si="154"/>
        <v>0</v>
      </c>
      <c r="BP104">
        <f t="shared" si="155"/>
        <v>0</v>
      </c>
    </row>
    <row r="105" spans="14:68">
      <c r="N105" s="7">
        <v>87</v>
      </c>
      <c r="O105" s="18">
        <f t="shared" si="117"/>
        <v>74.1310241300918</v>
      </c>
      <c r="P105" s="86" t="str">
        <f t="shared" si="105"/>
        <v>163,636363636364</v>
      </c>
      <c r="Q105" s="4" t="str">
        <f t="shared" si="106"/>
        <v>1+2,8454860200808i</v>
      </c>
      <c r="R105" s="4">
        <f t="shared" si="118"/>
        <v>3.01608864101758</v>
      </c>
      <c r="S105" s="4">
        <f t="shared" si="119"/>
        <v>1.23284474051601</v>
      </c>
      <c r="T105" s="4" t="str">
        <f t="shared" si="107"/>
        <v>1+0,00730341411820737i</v>
      </c>
      <c r="U105" s="4">
        <f t="shared" si="120"/>
        <v>1.00002666957326</v>
      </c>
      <c r="V105" s="4">
        <f t="shared" si="121"/>
        <v>0.00730328426800626</v>
      </c>
      <c r="W105" t="str">
        <f t="shared" si="108"/>
        <v>1-0,00698668442430553i</v>
      </c>
      <c r="X105" s="4">
        <f t="shared" si="122"/>
        <v>1.00002440658178</v>
      </c>
      <c r="Y105" s="4">
        <f t="shared" si="123"/>
        <v>-0.0069865707455245</v>
      </c>
      <c r="Z105" t="str">
        <f t="shared" si="109"/>
        <v>0,99999995513952+0,00144724177360614i</v>
      </c>
      <c r="AA105" s="4">
        <f t="shared" si="124"/>
        <v>1.00000100239339</v>
      </c>
      <c r="AB105" s="4">
        <f t="shared" si="125"/>
        <v>0.00144724082811105</v>
      </c>
      <c r="AC105" s="67" t="str">
        <f t="shared" si="126"/>
        <v>17,9313815816822-51,2085002128126i</v>
      </c>
      <c r="AD105" s="68">
        <f t="shared" si="127"/>
        <v>34.6891493076583</v>
      </c>
      <c r="AE105" s="31">
        <f t="shared" si="128"/>
        <v>-70.7015748697054</v>
      </c>
      <c r="AF105" s="32" t="str">
        <f t="shared" si="129"/>
        <v>748,315388573934</v>
      </c>
      <c r="AG105" s="32" t="str">
        <f t="shared" si="110"/>
        <v>1+2,31854416451028i</v>
      </c>
      <c r="AH105" s="32">
        <f t="shared" si="130"/>
        <v>2.52500436490408</v>
      </c>
      <c r="AI105" s="32">
        <f t="shared" si="131"/>
        <v>1.16359731908121</v>
      </c>
      <c r="AJ105" s="32" t="str">
        <f t="shared" si="111"/>
        <v>1+0,00730341411820737i</v>
      </c>
      <c r="AK105" s="32">
        <f t="shared" si="132"/>
        <v>1.00002666957326</v>
      </c>
      <c r="AL105" s="32">
        <f t="shared" si="133"/>
        <v>0.00730328426800626</v>
      </c>
      <c r="AM105" s="32" t="str">
        <f t="shared" si="112"/>
        <v>1-0,00124484663739339i</v>
      </c>
      <c r="AN105" s="32">
        <f t="shared" si="134"/>
        <v>1.00000077482128</v>
      </c>
      <c r="AO105" s="32">
        <f t="shared" si="135"/>
        <v>-0.0012448459943713</v>
      </c>
      <c r="AP105" s="30" t="str">
        <f t="shared" si="136"/>
        <v>119,02067590405-271,420974294798i</v>
      </c>
      <c r="AQ105" s="32">
        <f t="shared" si="137"/>
        <v>49.4366892371729</v>
      </c>
      <c r="AR105" s="31">
        <f t="shared" si="138"/>
        <v>-66.3220924925711</v>
      </c>
      <c r="AS105" t="str">
        <f t="shared" si="113"/>
        <v>-0,0000504684572142411</v>
      </c>
      <c r="AT105" t="str">
        <f t="shared" si="114"/>
        <v>0,000104660532676097i</v>
      </c>
      <c r="AU105">
        <f t="shared" si="139"/>
        <v>0.000104660532676097</v>
      </c>
      <c r="AV105">
        <f t="shared" si="140"/>
        <v>1.5707963267949</v>
      </c>
      <c r="AW105" t="str">
        <f t="shared" si="115"/>
        <v>1+0,00535842730658056i</v>
      </c>
      <c r="AX105">
        <f t="shared" si="141"/>
        <v>1.00001435626855</v>
      </c>
      <c r="AY105">
        <f t="shared" si="142"/>
        <v>0.00535837602241499</v>
      </c>
      <c r="AZ105" t="str">
        <f t="shared" si="116"/>
        <v>1+0,256178428891202i</v>
      </c>
      <c r="BA105">
        <f t="shared" si="143"/>
        <v>1.03229229747643</v>
      </c>
      <c r="BB105">
        <f t="shared" si="144"/>
        <v>0.250785148506615</v>
      </c>
      <c r="BC105" s="30" t="str">
        <f t="shared" si="145"/>
        <v>-0,120944684161336+0,482859045512819i</v>
      </c>
      <c r="BD105" s="32">
        <f t="shared" si="146"/>
        <v>-6.05932919784786</v>
      </c>
      <c r="BE105" s="31">
        <f t="shared" si="147"/>
        <v>104.061918242862</v>
      </c>
      <c r="BF105" s="30" t="str">
        <f t="shared" si="148"/>
        <v>22,5577822529287+14,8517256798715i</v>
      </c>
      <c r="BG105" s="68">
        <f t="shared" si="149"/>
        <v>28.6298201098104</v>
      </c>
      <c r="BH105" s="31">
        <f t="shared" si="150"/>
        <v>33.3603433731567</v>
      </c>
      <c r="BI105" s="30" t="str">
        <f t="shared" si="103"/>
        <v>116,663154524261+90,2971339741666i</v>
      </c>
      <c r="BJ105" s="68">
        <f t="shared" si="151"/>
        <v>43.3773600393251</v>
      </c>
      <c r="BK105" s="31">
        <f t="shared" si="104"/>
        <v>37.7398257502911</v>
      </c>
      <c r="BL105" s="32">
        <f t="shared" si="152"/>
        <v>28.6298201098104</v>
      </c>
      <c r="BM105" s="31">
        <f t="shared" si="153"/>
        <v>33.3603433731567</v>
      </c>
      <c r="BO105">
        <f t="shared" si="154"/>
        <v>0</v>
      </c>
      <c r="BP105">
        <f t="shared" si="155"/>
        <v>0</v>
      </c>
    </row>
    <row r="106" spans="14:68">
      <c r="N106" s="7">
        <v>88</v>
      </c>
      <c r="O106" s="18">
        <f t="shared" si="117"/>
        <v>75.8577575029184</v>
      </c>
      <c r="P106" s="86" t="str">
        <f t="shared" si="105"/>
        <v>163,636363636364</v>
      </c>
      <c r="Q106" s="4" t="str">
        <f t="shared" si="106"/>
        <v>1+2,91176590398153i</v>
      </c>
      <c r="R106" s="4">
        <f t="shared" si="118"/>
        <v>3.07869788702779</v>
      </c>
      <c r="S106" s="4">
        <f t="shared" si="119"/>
        <v>1.23998270285595</v>
      </c>
      <c r="T106" s="4" t="str">
        <f t="shared" si="107"/>
        <v>1+0,00747353248688593i</v>
      </c>
      <c r="U106" s="4">
        <f t="shared" si="120"/>
        <v>1.00002792645397</v>
      </c>
      <c r="V106" s="4">
        <f t="shared" si="121"/>
        <v>0.0074733933500985</v>
      </c>
      <c r="W106" t="str">
        <f t="shared" si="108"/>
        <v>1-0,00714942521066894i</v>
      </c>
      <c r="X106" s="4">
        <f t="shared" si="122"/>
        <v>1.00002555681385</v>
      </c>
      <c r="Y106" s="4">
        <f t="shared" si="123"/>
        <v>-0.00714930340182859</v>
      </c>
      <c r="Z106" t="str">
        <f t="shared" si="109"/>
        <v>0,999999953025311+0,00148095236506714i</v>
      </c>
      <c r="AA106" s="4">
        <f t="shared" si="124"/>
        <v>1.00000104963472</v>
      </c>
      <c r="AB106" s="4">
        <f t="shared" si="125"/>
        <v>0.00148095135195096</v>
      </c>
      <c r="AC106" s="67" t="str">
        <f t="shared" si="126"/>
        <v>17,2069048882345-50,2917934437688i</v>
      </c>
      <c r="AD106" s="68">
        <f t="shared" si="127"/>
        <v>34.5107103528853</v>
      </c>
      <c r="AE106" s="31">
        <f t="shared" si="128"/>
        <v>-71.1120588187831</v>
      </c>
      <c r="AF106" s="32" t="str">
        <f t="shared" si="129"/>
        <v>748,315388573934</v>
      </c>
      <c r="AG106" s="32" t="str">
        <f t="shared" si="110"/>
        <v>1+2,3725499958368i</v>
      </c>
      <c r="AH106" s="32">
        <f t="shared" si="130"/>
        <v>2.5746831810429</v>
      </c>
      <c r="AI106" s="32">
        <f t="shared" si="131"/>
        <v>1.17190461577796</v>
      </c>
      <c r="AJ106" s="32" t="str">
        <f t="shared" si="111"/>
        <v>1+0,00747353248688593i</v>
      </c>
      <c r="AK106" s="32">
        <f t="shared" si="132"/>
        <v>1.00002792645397</v>
      </c>
      <c r="AL106" s="32">
        <f t="shared" si="133"/>
        <v>0.0074733933500985</v>
      </c>
      <c r="AM106" s="32" t="str">
        <f t="shared" si="112"/>
        <v>1-0,00127384284050892i</v>
      </c>
      <c r="AN106" s="32">
        <f t="shared" si="134"/>
        <v>1.00000081133746</v>
      </c>
      <c r="AO106" s="32">
        <f t="shared" si="135"/>
        <v>-0.00127384215149837</v>
      </c>
      <c r="AP106" s="30" t="str">
        <f t="shared" si="136"/>
        <v>114,546731830725-267,12852496134i</v>
      </c>
      <c r="AQ106" s="32">
        <f t="shared" si="137"/>
        <v>49.2674672148998</v>
      </c>
      <c r="AR106" s="31">
        <f t="shared" si="138"/>
        <v>-66.7899803574226</v>
      </c>
      <c r="AS106" t="str">
        <f t="shared" si="113"/>
        <v>-0,0000504684572142411</v>
      </c>
      <c r="AT106" t="str">
        <f t="shared" si="114"/>
        <v>0,000107098389655821i</v>
      </c>
      <c r="AU106">
        <f t="shared" si="139"/>
        <v>0.000107098389655821</v>
      </c>
      <c r="AV106">
        <f t="shared" si="140"/>
        <v>1.5707963267949</v>
      </c>
      <c r="AW106" t="str">
        <f t="shared" si="115"/>
        <v>1+0,00548324111246972i</v>
      </c>
      <c r="AX106">
        <f t="shared" si="141"/>
        <v>1.00001503285356</v>
      </c>
      <c r="AY106">
        <f t="shared" si="142"/>
        <v>0.00548318616054088</v>
      </c>
      <c r="AZ106" t="str">
        <f t="shared" si="116"/>
        <v>1+0,262145591057861i</v>
      </c>
      <c r="BA106">
        <f t="shared" si="143"/>
        <v>1.03378929715444</v>
      </c>
      <c r="BB106">
        <f t="shared" si="144"/>
        <v>0.256376739353395</v>
      </c>
      <c r="BC106" s="30" t="str">
        <f t="shared" si="145"/>
        <v>-0,120944520505132+0,471897678368579i</v>
      </c>
      <c r="BD106" s="32">
        <f t="shared" si="146"/>
        <v>-6.24674817929092</v>
      </c>
      <c r="BE106" s="31">
        <f t="shared" si="147"/>
        <v>104.375141704992</v>
      </c>
      <c r="BF106" s="30" t="str">
        <f t="shared" si="148"/>
        <v>21,6514997060217+14,2024153120666i</v>
      </c>
      <c r="BG106" s="68">
        <f t="shared" si="149"/>
        <v>28.2639621735943</v>
      </c>
      <c r="BH106" s="31">
        <f t="shared" si="150"/>
        <v>33.2630828862085</v>
      </c>
      <c r="BI106" s="30" t="str">
        <f t="shared" si="103"/>
        <v>112,203531198582+86,3620681803198i</v>
      </c>
      <c r="BJ106" s="68">
        <f t="shared" si="151"/>
        <v>43.0207190356089</v>
      </c>
      <c r="BK106" s="31">
        <f t="shared" si="104"/>
        <v>37.5851613475691</v>
      </c>
      <c r="BL106" s="32">
        <f t="shared" si="152"/>
        <v>28.2639621735943</v>
      </c>
      <c r="BM106" s="31">
        <f t="shared" si="153"/>
        <v>33.2630828862085</v>
      </c>
      <c r="BO106">
        <f t="shared" si="154"/>
        <v>0</v>
      </c>
      <c r="BP106">
        <f t="shared" si="155"/>
        <v>0</v>
      </c>
    </row>
    <row r="107" spans="14:68">
      <c r="N107" s="7">
        <v>89</v>
      </c>
      <c r="O107" s="18">
        <f t="shared" si="117"/>
        <v>77.6247116628692</v>
      </c>
      <c r="P107" s="86" t="str">
        <f t="shared" si="105"/>
        <v>163,636363636364</v>
      </c>
      <c r="Q107" s="4" t="str">
        <f t="shared" si="106"/>
        <v>1+2,97958964470634i</v>
      </c>
      <c r="R107" s="4">
        <f t="shared" si="118"/>
        <v>3.14292132431616</v>
      </c>
      <c r="S107" s="4">
        <f t="shared" si="119"/>
        <v>1.24699216528285</v>
      </c>
      <c r="T107" s="4" t="str">
        <f t="shared" si="107"/>
        <v>1+0,00764761342141294i</v>
      </c>
      <c r="U107" s="4">
        <f t="shared" si="120"/>
        <v>1.00002924256796</v>
      </c>
      <c r="V107" s="4">
        <f t="shared" si="121"/>
        <v>0.0076474643338946</v>
      </c>
      <c r="W107" t="str">
        <f t="shared" si="108"/>
        <v>1-0,00731595671691289i</v>
      </c>
      <c r="X107" s="4">
        <f t="shared" si="122"/>
        <v>1.00002676125326</v>
      </c>
      <c r="Y107" s="4">
        <f t="shared" si="123"/>
        <v>-0.00731582619657755</v>
      </c>
      <c r="Z107" t="str">
        <f t="shared" si="109"/>
        <v>0,999999950811462+0,00151544817707481i</v>
      </c>
      <c r="AA107" s="4">
        <f t="shared" si="124"/>
        <v>1.00000109910245</v>
      </c>
      <c r="AB107" s="4">
        <f t="shared" si="125"/>
        <v>0.00151544709150132</v>
      </c>
      <c r="AC107" s="67" t="str">
        <f t="shared" si="126"/>
        <v>16,5082774930799-49,3816174535378i</v>
      </c>
      <c r="AD107" s="68">
        <f t="shared" si="127"/>
        <v>34.331403096268</v>
      </c>
      <c r="AE107" s="31">
        <f t="shared" si="128"/>
        <v>-71.515215413412</v>
      </c>
      <c r="AF107" s="32" t="str">
        <f t="shared" si="129"/>
        <v>748,315388573934</v>
      </c>
      <c r="AG107" s="32" t="str">
        <f t="shared" si="110"/>
        <v>1+2,42781378457554i</v>
      </c>
      <c r="AH107" s="32">
        <f t="shared" si="130"/>
        <v>2.62569605487288</v>
      </c>
      <c r="AI107" s="32">
        <f t="shared" si="131"/>
        <v>1.1800794178278</v>
      </c>
      <c r="AJ107" s="32" t="str">
        <f t="shared" si="111"/>
        <v>1+0,00764761342141294i</v>
      </c>
      <c r="AK107" s="32">
        <f t="shared" si="132"/>
        <v>1.00002924256796</v>
      </c>
      <c r="AL107" s="32">
        <f t="shared" si="133"/>
        <v>0.0076474643338946</v>
      </c>
      <c r="AM107" s="32" t="str">
        <f t="shared" si="112"/>
        <v>1-0,00130351445195979i</v>
      </c>
      <c r="AN107" s="32">
        <f t="shared" si="134"/>
        <v>1.0000008495746</v>
      </c>
      <c r="AO107" s="32">
        <f t="shared" si="135"/>
        <v>-0.00130351371367171</v>
      </c>
      <c r="AP107" s="30" t="str">
        <f t="shared" si="136"/>
        <v>110,214358098041-262,832550963091i</v>
      </c>
      <c r="AQ107" s="32">
        <f t="shared" si="137"/>
        <v>49.0970658660567</v>
      </c>
      <c r="AR107" s="31">
        <f t="shared" si="138"/>
        <v>-67.2500885358098</v>
      </c>
      <c r="AS107" t="str">
        <f t="shared" si="113"/>
        <v>-0,0000504684572142411</v>
      </c>
      <c r="AT107" t="str">
        <f t="shared" si="114"/>
        <v>0,000109593031619355i</v>
      </c>
      <c r="AU107">
        <f t="shared" si="139"/>
        <v>0.000109593031619355</v>
      </c>
      <c r="AV107">
        <f t="shared" si="140"/>
        <v>1.5707963267949</v>
      </c>
      <c r="AW107" t="str">
        <f t="shared" si="115"/>
        <v>1+0,005610962205376i</v>
      </c>
      <c r="AX107">
        <f t="shared" si="141"/>
        <v>1.00001574132454</v>
      </c>
      <c r="AY107">
        <f t="shared" si="142"/>
        <v>0.00561090332337344</v>
      </c>
      <c r="AZ107" t="str">
        <f t="shared" si="116"/>
        <v>1+0,268251746286805i</v>
      </c>
      <c r="BA107">
        <f t="shared" si="143"/>
        <v>1.03535452835535</v>
      </c>
      <c r="BB107">
        <f t="shared" si="144"/>
        <v>0.262081653031902</v>
      </c>
      <c r="BC107" s="30" t="str">
        <f t="shared" si="145"/>
        <v>-0,120944349136523+0,461186517535114i</v>
      </c>
      <c r="BD107" s="32">
        <f t="shared" si="146"/>
        <v>-6.4336132183019</v>
      </c>
      <c r="BE107" s="31">
        <f t="shared" si="147"/>
        <v>104.694691526855</v>
      </c>
      <c r="BF107" s="30" t="str">
        <f t="shared" si="148"/>
        <v>20,7775533068826+13,5858225897637i</v>
      </c>
      <c r="BG107" s="68">
        <f t="shared" si="149"/>
        <v>27.8977898779661</v>
      </c>
      <c r="BH107" s="31">
        <f t="shared" si="150"/>
        <v>33.1794761134428</v>
      </c>
      <c r="BI107" s="30" t="str">
        <f t="shared" si="103"/>
        <v>107,885025067871+82,6174878017266i</v>
      </c>
      <c r="BJ107" s="68">
        <f t="shared" si="151"/>
        <v>42.6634526477548</v>
      </c>
      <c r="BK107" s="31">
        <f t="shared" si="104"/>
        <v>37.444602991045</v>
      </c>
      <c r="BL107" s="32">
        <f t="shared" si="152"/>
        <v>27.8977898779661</v>
      </c>
      <c r="BM107" s="31">
        <f t="shared" si="153"/>
        <v>33.1794761134428</v>
      </c>
      <c r="BO107">
        <f t="shared" si="154"/>
        <v>0</v>
      </c>
      <c r="BP107">
        <f t="shared" si="155"/>
        <v>0</v>
      </c>
    </row>
    <row r="108" spans="14:68">
      <c r="N108" s="7">
        <v>90</v>
      </c>
      <c r="O108" s="18">
        <f t="shared" si="117"/>
        <v>79.4328234724282</v>
      </c>
      <c r="P108" s="86" t="str">
        <f t="shared" si="105"/>
        <v>163,636363636364</v>
      </c>
      <c r="Q108" s="4" t="str">
        <f t="shared" si="106"/>
        <v>1+3,0489932033003i</v>
      </c>
      <c r="R108" s="4">
        <f t="shared" si="118"/>
        <v>3.20879409650595</v>
      </c>
      <c r="S108" s="4">
        <f t="shared" si="119"/>
        <v>1.25387408825805</v>
      </c>
      <c r="T108" s="4" t="str">
        <f t="shared" si="107"/>
        <v>1+0,0078257492218041i</v>
      </c>
      <c r="U108" s="4">
        <f t="shared" si="120"/>
        <v>1.00003062070663</v>
      </c>
      <c r="V108" s="4">
        <f t="shared" si="121"/>
        <v>0.00782558947191421</v>
      </c>
      <c r="W108" t="str">
        <f t="shared" si="108"/>
        <v>1-0,00748636724024627i</v>
      </c>
      <c r="X108" s="4">
        <f t="shared" si="122"/>
        <v>1.0000280224546</v>
      </c>
      <c r="Y108" s="4">
        <f t="shared" si="123"/>
        <v>-0.00748622738539889</v>
      </c>
      <c r="Z108" t="str">
        <f t="shared" si="109"/>
        <v>0,999999948493278+0,0015507474997653i</v>
      </c>
      <c r="AA108" s="4">
        <f t="shared" si="124"/>
        <v>1.00000115090152</v>
      </c>
      <c r="AB108" s="4">
        <f t="shared" si="125"/>
        <v>0.00155074633655243</v>
      </c>
      <c r="AC108" s="67" t="str">
        <f t="shared" si="126"/>
        <v>15,8348418947875-48,4785631743473i</v>
      </c>
      <c r="AD108" s="68">
        <f t="shared" si="127"/>
        <v>34.1512587635386</v>
      </c>
      <c r="AE108" s="31">
        <f t="shared" si="128"/>
        <v>-71.911100502896</v>
      </c>
      <c r="AF108" s="32" t="str">
        <f t="shared" si="129"/>
        <v>748,315388573934</v>
      </c>
      <c r="AG108" s="32" t="str">
        <f t="shared" si="110"/>
        <v>1+2,48436483231876i</v>
      </c>
      <c r="AH108" s="32">
        <f t="shared" si="130"/>
        <v>2.67807181010185</v>
      </c>
      <c r="AI108" s="32">
        <f t="shared" si="131"/>
        <v>1.1881216881639</v>
      </c>
      <c r="AJ108" s="32" t="str">
        <f t="shared" si="111"/>
        <v>1+0,0078257492218041i</v>
      </c>
      <c r="AK108" s="32">
        <f t="shared" si="132"/>
        <v>1.00003062070663</v>
      </c>
      <c r="AL108" s="32">
        <f t="shared" si="133"/>
        <v>0.00782558947191421</v>
      </c>
      <c r="AM108" s="32" t="str">
        <f t="shared" si="112"/>
        <v>1-0,00133387720402714i</v>
      </c>
      <c r="AN108" s="32">
        <f t="shared" si="134"/>
        <v>1.0000008896138</v>
      </c>
      <c r="AO108" s="32">
        <f t="shared" si="135"/>
        <v>-0.00133387641293725</v>
      </c>
      <c r="AP108" s="30" t="str">
        <f t="shared" si="136"/>
        <v>106,021317474868-258,537664879108i</v>
      </c>
      <c r="AQ108" s="32">
        <f t="shared" si="137"/>
        <v>48.9255228555232</v>
      </c>
      <c r="AR108" s="31">
        <f t="shared" si="138"/>
        <v>-67.7024105196603</v>
      </c>
      <c r="AS108" t="str">
        <f t="shared" si="113"/>
        <v>-0,0000504684572142411</v>
      </c>
      <c r="AT108" t="str">
        <f t="shared" si="114"/>
        <v>0,000112145781258889i</v>
      </c>
      <c r="AU108">
        <f t="shared" si="139"/>
        <v>0.000112145781258889</v>
      </c>
      <c r="AV108">
        <f t="shared" si="140"/>
        <v>1.5707963267949</v>
      </c>
      <c r="AW108" t="str">
        <f t="shared" si="115"/>
        <v>1+0,00574165830471343i</v>
      </c>
      <c r="AX108">
        <f t="shared" si="141"/>
        <v>1.0000164831842</v>
      </c>
      <c r="AY108">
        <f t="shared" si="142"/>
        <v>0.00574159521156713</v>
      </c>
      <c r="AZ108" t="str">
        <f t="shared" si="116"/>
        <v>1+0,274500132142363i</v>
      </c>
      <c r="BA108">
        <f t="shared" si="143"/>
        <v>1.03699099443832</v>
      </c>
      <c r="BB108">
        <f t="shared" si="144"/>
        <v>0.267901428372634</v>
      </c>
      <c r="BC108" s="30" t="str">
        <f t="shared" si="145"/>
        <v>-0,120944169692081+0,450719883807116i</v>
      </c>
      <c r="BD108" s="32">
        <f t="shared" si="146"/>
        <v>-6.61990171131518</v>
      </c>
      <c r="BE108" s="31">
        <f t="shared" si="147"/>
        <v>105.020651997983</v>
      </c>
      <c r="BF108" s="30" t="str">
        <f t="shared" si="148"/>
        <v>19,9351205559073+13,0002776699092i</v>
      </c>
      <c r="BG108" s="68">
        <f t="shared" si="149"/>
        <v>27.5313570522234</v>
      </c>
      <c r="BH108" s="31">
        <f t="shared" si="150"/>
        <v>33.1095514950869</v>
      </c>
      <c r="BI108" s="30" t="str">
        <f t="shared" si="103"/>
        <v>103,705406062416+79,0545391062831i</v>
      </c>
      <c r="BJ108" s="68">
        <f t="shared" si="151"/>
        <v>42.305621144208</v>
      </c>
      <c r="BK108" s="31">
        <f t="shared" si="104"/>
        <v>37.3182414783227</v>
      </c>
      <c r="BL108" s="32">
        <f t="shared" si="152"/>
        <v>27.5313570522234</v>
      </c>
      <c r="BM108" s="31">
        <f t="shared" si="153"/>
        <v>33.1095514950869</v>
      </c>
      <c r="BO108">
        <f t="shared" si="154"/>
        <v>0</v>
      </c>
      <c r="BP108">
        <f t="shared" si="155"/>
        <v>0</v>
      </c>
    </row>
    <row r="109" spans="14:68">
      <c r="N109" s="7">
        <v>91</v>
      </c>
      <c r="O109" s="18">
        <f t="shared" si="117"/>
        <v>81.28305161641</v>
      </c>
      <c r="P109" s="86" t="str">
        <f t="shared" si="105"/>
        <v>163,636363636364</v>
      </c>
      <c r="Q109" s="4" t="str">
        <f t="shared" si="106"/>
        <v>1+3,12001337844884i</v>
      </c>
      <c r="R109" s="4">
        <f t="shared" si="118"/>
        <v>3.27635216081845</v>
      </c>
      <c r="S109" s="4">
        <f t="shared" si="119"/>
        <v>1.26062951231754</v>
      </c>
      <c r="T109" s="4" t="str">
        <f t="shared" si="107"/>
        <v>1+0,00800803433801869i</v>
      </c>
      <c r="U109" s="4">
        <f t="shared" si="120"/>
        <v>1.00003206379294</v>
      </c>
      <c r="V109" s="4">
        <f t="shared" si="121"/>
        <v>0.00800786316322409</v>
      </c>
      <c r="W109" t="str">
        <f t="shared" si="108"/>
        <v>1-0,00766074713458421i</v>
      </c>
      <c r="X109" s="4">
        <f t="shared" si="122"/>
        <v>1.00002934309282</v>
      </c>
      <c r="Y109" s="4">
        <f t="shared" si="123"/>
        <v>-0.00766059727765279</v>
      </c>
      <c r="Z109" t="str">
        <f t="shared" si="109"/>
        <v>0,999999946065841+0,00158686904930673i</v>
      </c>
      <c r="AA109" s="4">
        <f t="shared" si="124"/>
        <v>1.00000120514181</v>
      </c>
      <c r="AB109" s="4">
        <f t="shared" si="125"/>
        <v>0.00158686780290176</v>
      </c>
      <c r="AC109" s="67" t="str">
        <f t="shared" si="126"/>
        <v>15,1859356571397-47,5831785244316i</v>
      </c>
      <c r="AD109" s="68">
        <f t="shared" si="127"/>
        <v>33.9703077760297</v>
      </c>
      <c r="AE109" s="31">
        <f t="shared" si="128"/>
        <v>-72.2997745435697</v>
      </c>
      <c r="AF109" s="32" t="str">
        <f t="shared" si="129"/>
        <v>748,315388573934</v>
      </c>
      <c r="AG109" s="32" t="str">
        <f t="shared" si="110"/>
        <v>1+2,54223312318054i</v>
      </c>
      <c r="AH109" s="32">
        <f t="shared" si="130"/>
        <v>2.73183990244602</v>
      </c>
      <c r="AI109" s="32">
        <f t="shared" si="131"/>
        <v>1.19603152858937</v>
      </c>
      <c r="AJ109" s="32" t="str">
        <f t="shared" si="111"/>
        <v>1+0,00800803433801869i</v>
      </c>
      <c r="AK109" s="32">
        <f t="shared" si="132"/>
        <v>1.00003206379294</v>
      </c>
      <c r="AL109" s="32">
        <f t="shared" si="133"/>
        <v>0.00800786316322409</v>
      </c>
      <c r="AM109" s="32" t="str">
        <f t="shared" si="112"/>
        <v>1-0,00136494719544401i</v>
      </c>
      <c r="AN109" s="32">
        <f t="shared" si="134"/>
        <v>1.00000093153999</v>
      </c>
      <c r="AO109" s="32">
        <f t="shared" si="135"/>
        <v>-0.00136494634777597</v>
      </c>
      <c r="AP109" s="30" t="str">
        <f t="shared" si="136"/>
        <v>101,965228391578-254,248256693312i</v>
      </c>
      <c r="AQ109" s="32">
        <f t="shared" si="137"/>
        <v>48.7528752301355</v>
      </c>
      <c r="AR109" s="31">
        <f t="shared" si="138"/>
        <v>-68.1469476555697</v>
      </c>
      <c r="AS109" t="str">
        <f t="shared" si="113"/>
        <v>-0,0000504684572142411</v>
      </c>
      <c r="AT109" t="str">
        <f t="shared" si="114"/>
        <v>0,000114757992076071i</v>
      </c>
      <c r="AU109">
        <f t="shared" si="139"/>
        <v>0.000114757992076071</v>
      </c>
      <c r="AV109">
        <f t="shared" si="140"/>
        <v>1.5707963267949</v>
      </c>
      <c r="AW109" t="str">
        <f t="shared" si="115"/>
        <v>1+0,00587539870728384i</v>
      </c>
      <c r="AX109">
        <f t="shared" si="141"/>
        <v>1.00001726000603</v>
      </c>
      <c r="AY109">
        <f t="shared" si="142"/>
        <v>0.00587533110182257</v>
      </c>
      <c r="AZ109" t="str">
        <f t="shared" si="116"/>
        <v>1+0,280894061601421i</v>
      </c>
      <c r="BA109">
        <f t="shared" si="143"/>
        <v>1.03870182143045</v>
      </c>
      <c r="BB109">
        <f t="shared" si="144"/>
        <v>0.273837573542501</v>
      </c>
      <c r="BC109" s="30" t="str">
        <f t="shared" si="145"/>
        <v>-0,120943981791254+0,440492227630361i</v>
      </c>
      <c r="BD109" s="32">
        <f t="shared" si="146"/>
        <v>-6.80559029195679</v>
      </c>
      <c r="BE109" s="31">
        <f t="shared" si="147"/>
        <v>105.353105560712</v>
      </c>
      <c r="BF109" s="30" t="str">
        <f t="shared" si="148"/>
        <v>19,1233727803598+12,4441857032936i</v>
      </c>
      <c r="BG109" s="68">
        <f t="shared" si="149"/>
        <v>27.1647174840729</v>
      </c>
      <c r="BH109" s="31">
        <f t="shared" si="150"/>
        <v>33.0533310171424</v>
      </c>
      <c r="BI109" s="30" t="str">
        <f t="shared" si="103"/>
        <v>99,6623002360408+75,6646871230187i</v>
      </c>
      <c r="BJ109" s="68">
        <f t="shared" si="151"/>
        <v>41.9472849381787</v>
      </c>
      <c r="BK109" s="31">
        <f t="shared" si="104"/>
        <v>37.2061579051425</v>
      </c>
      <c r="BL109" s="32">
        <f t="shared" si="152"/>
        <v>27.1647174840729</v>
      </c>
      <c r="BM109" s="31">
        <f t="shared" si="153"/>
        <v>33.0533310171424</v>
      </c>
      <c r="BO109">
        <f t="shared" si="154"/>
        <v>0</v>
      </c>
      <c r="BP109">
        <f t="shared" si="155"/>
        <v>0</v>
      </c>
    </row>
    <row r="110" spans="14:68">
      <c r="N110" s="7">
        <v>92</v>
      </c>
      <c r="O110" s="18">
        <f t="shared" si="117"/>
        <v>83.1763771102671</v>
      </c>
      <c r="P110" s="86" t="str">
        <f t="shared" si="105"/>
        <v>163,636363636364</v>
      </c>
      <c r="Q110" s="4" t="str">
        <f t="shared" si="106"/>
        <v>1+3,1926878259889i</v>
      </c>
      <c r="R110" s="4">
        <f t="shared" si="118"/>
        <v>3.34563231007499</v>
      </c>
      <c r="S110" s="4">
        <f t="shared" si="119"/>
        <v>1.26725955211185</v>
      </c>
      <c r="T110" s="4" t="str">
        <f t="shared" si="107"/>
        <v>1+0,00819456542003818i</v>
      </c>
      <c r="U110" s="4">
        <f t="shared" si="120"/>
        <v>1.00003357488758</v>
      </c>
      <c r="V110" s="4">
        <f t="shared" si="121"/>
        <v>0.00819438200327378</v>
      </c>
      <c r="W110" t="str">
        <f t="shared" si="108"/>
        <v>1-0,00783918885845489i</v>
      </c>
      <c r="X110" s="4">
        <f t="shared" si="122"/>
        <v>1.00003072596894</v>
      </c>
      <c r="Y110" s="4">
        <f t="shared" si="123"/>
        <v>-0.00783902828412631</v>
      </c>
      <c r="Z110" t="str">
        <f t="shared" si="109"/>
        <v>0,999999943524002+0,0016238319778228i</v>
      </c>
      <c r="AA110" s="4">
        <f t="shared" si="124"/>
        <v>1.00000126193835</v>
      </c>
      <c r="AB110" s="4">
        <f t="shared" si="125"/>
        <v>0.0016238306422759</v>
      </c>
      <c r="AC110" s="67" t="str">
        <f t="shared" si="126"/>
        <v>14,5608935973518-46,6959697042941i</v>
      </c>
      <c r="AD110" s="68">
        <f t="shared" si="127"/>
        <v>33.7885797461009</v>
      </c>
      <c r="AE110" s="31">
        <f t="shared" si="128"/>
        <v>-72.6813022577527</v>
      </c>
      <c r="AF110" s="32" t="str">
        <f t="shared" si="129"/>
        <v>748,315388573934</v>
      </c>
      <c r="AG110" s="32" t="str">
        <f t="shared" si="110"/>
        <v>1+2,60144933969466i</v>
      </c>
      <c r="AH110" s="32">
        <f t="shared" si="130"/>
        <v>2.78703043883589</v>
      </c>
      <c r="AI110" s="32">
        <f t="shared" si="131"/>
        <v>1.20380917290129</v>
      </c>
      <c r="AJ110" s="32" t="str">
        <f t="shared" si="111"/>
        <v>1+0,00819456542003818i</v>
      </c>
      <c r="AK110" s="32">
        <f t="shared" si="132"/>
        <v>1.00003357488758</v>
      </c>
      <c r="AL110" s="32">
        <f t="shared" si="133"/>
        <v>0.00819438200327378</v>
      </c>
      <c r="AM110" s="32" t="str">
        <f t="shared" si="112"/>
        <v>1-0,00139674089993113i</v>
      </c>
      <c r="AN110" s="32">
        <f t="shared" si="134"/>
        <v>1.00000097544209</v>
      </c>
      <c r="AO110" s="32">
        <f t="shared" si="135"/>
        <v>-0.0013967399916385</v>
      </c>
      <c r="AP110" s="30" t="str">
        <f t="shared" si="136"/>
        <v>98,0435814081796-249,968493418387i</v>
      </c>
      <c r="AQ110" s="32">
        <f t="shared" si="137"/>
        <v>48.5791593822834</v>
      </c>
      <c r="AR110" s="31">
        <f t="shared" si="138"/>
        <v>-68.5837087484708</v>
      </c>
      <c r="AS110" t="str">
        <f t="shared" si="113"/>
        <v>-0,0000504684572142411</v>
      </c>
      <c r="AT110" t="str">
        <f t="shared" si="114"/>
        <v>0,000117431049099654i</v>
      </c>
      <c r="AU110">
        <f t="shared" si="139"/>
        <v>0.000117431049099654</v>
      </c>
      <c r="AV110">
        <f t="shared" si="140"/>
        <v>1.5707963267949</v>
      </c>
      <c r="AW110" t="str">
        <f t="shared" si="115"/>
        <v>1+0,00601225432401895i</v>
      </c>
      <c r="AX110">
        <f t="shared" si="141"/>
        <v>1.0000180734377</v>
      </c>
      <c r="AY110">
        <f t="shared" si="142"/>
        <v>0.00601218188353277</v>
      </c>
      <c r="AZ110" t="str">
        <f t="shared" si="116"/>
        <v>1+0,287436924810012i</v>
      </c>
      <c r="BA110">
        <f t="shared" si="143"/>
        <v>1.04049026220539</v>
      </c>
      <c r="BB110">
        <f t="shared" si="144"/>
        <v>0.279891561883425</v>
      </c>
      <c r="BC110" s="30" t="str">
        <f t="shared" si="145"/>
        <v>-0,120943785035559+0,430498126159214i</v>
      </c>
      <c r="BD110" s="32">
        <f t="shared" si="146"/>
        <v>-6.99065481953013</v>
      </c>
      <c r="BE110" s="31">
        <f t="shared" si="147"/>
        <v>105.692132569653</v>
      </c>
      <c r="BF110" s="30" t="str">
        <f t="shared" si="148"/>
        <v>18,3414778717223+11,9160247308068i</v>
      </c>
      <c r="BG110" s="68">
        <f t="shared" si="149"/>
        <v>26.7979249265708</v>
      </c>
      <c r="BH110" s="31">
        <f t="shared" si="150"/>
        <v>33.0108303119008</v>
      </c>
      <c r="BI110" s="30" t="str">
        <f t="shared" si="103"/>
        <v>95,7532061815102+72,4397138118156i</v>
      </c>
      <c r="BJ110" s="68">
        <f t="shared" si="151"/>
        <v>41.5885045627533</v>
      </c>
      <c r="BK110" s="31">
        <f t="shared" si="104"/>
        <v>37.1084238211827</v>
      </c>
      <c r="BL110" s="32">
        <f t="shared" si="152"/>
        <v>26.7979249265708</v>
      </c>
      <c r="BM110" s="31">
        <f t="shared" si="153"/>
        <v>33.0108303119008</v>
      </c>
      <c r="BO110">
        <f t="shared" si="154"/>
        <v>0</v>
      </c>
      <c r="BP110">
        <f t="shared" si="155"/>
        <v>0</v>
      </c>
    </row>
    <row r="111" spans="14:68">
      <c r="N111" s="7">
        <v>93</v>
      </c>
      <c r="O111" s="18">
        <f t="shared" si="117"/>
        <v>85.1138038202377</v>
      </c>
      <c r="P111" s="86" t="str">
        <f t="shared" si="105"/>
        <v>163,636363636364</v>
      </c>
      <c r="Q111" s="4" t="str">
        <f t="shared" si="106"/>
        <v>1+3,26705507887452i</v>
      </c>
      <c r="R111" s="4">
        <f t="shared" si="118"/>
        <v>3.4166721950459</v>
      </c>
      <c r="S111" s="4">
        <f t="shared" si="119"/>
        <v>1.2737653906332</v>
      </c>
      <c r="T111" s="4" t="str">
        <f t="shared" si="107"/>
        <v>1+0,00838544136911126i</v>
      </c>
      <c r="U111" s="4">
        <f t="shared" si="120"/>
        <v>1.00003515719546</v>
      </c>
      <c r="V111" s="4">
        <f t="shared" si="121"/>
        <v>0.00838524483488046</v>
      </c>
      <c r="W111" t="str">
        <f t="shared" si="108"/>
        <v>1-0,00802178702402225i</v>
      </c>
      <c r="X111" s="4">
        <f t="shared" si="122"/>
        <v>1.00003217401595</v>
      </c>
      <c r="Y111" s="4">
        <f t="shared" si="123"/>
        <v>-0.00802161496582822</v>
      </c>
      <c r="Z111" t="str">
        <f t="shared" si="109"/>
        <v>0,999999940862371+0,00166165588354747i</v>
      </c>
      <c r="AA111" s="4">
        <f t="shared" si="124"/>
        <v>1.00000132141164</v>
      </c>
      <c r="AB111" s="4">
        <f t="shared" si="125"/>
        <v>0.00166165445248329</v>
      </c>
      <c r="AC111" s="67" t="str">
        <f t="shared" si="126"/>
        <v>13,959049809793-45,8174025614094i</v>
      </c>
      <c r="AD111" s="68">
        <f t="shared" si="127"/>
        <v>33.6061034751409</v>
      </c>
      <c r="AE111" s="31">
        <f t="shared" si="128"/>
        <v>-73.0557523034496</v>
      </c>
      <c r="AF111" s="32" t="str">
        <f t="shared" si="129"/>
        <v>748,315388573934</v>
      </c>
      <c r="AG111" s="32" t="str">
        <f t="shared" si="110"/>
        <v>1+2,66204487908294i</v>
      </c>
      <c r="AH111" s="32">
        <f t="shared" si="130"/>
        <v>2.84367419692406</v>
      </c>
      <c r="AI111" s="32">
        <f t="shared" si="131"/>
        <v>1.21145498001978</v>
      </c>
      <c r="AJ111" s="32" t="str">
        <f t="shared" si="111"/>
        <v>1+0,00838544136911126i</v>
      </c>
      <c r="AK111" s="32">
        <f t="shared" si="132"/>
        <v>1.00003515719546</v>
      </c>
      <c r="AL111" s="32">
        <f t="shared" si="133"/>
        <v>0.00838524483488046</v>
      </c>
      <c r="AM111" s="32" t="str">
        <f t="shared" si="112"/>
        <v>1-0,00142927517493144i</v>
      </c>
      <c r="AN111" s="32">
        <f t="shared" si="134"/>
        <v>1.00000102141324</v>
      </c>
      <c r="AO111" s="32">
        <f t="shared" si="135"/>
        <v>-0.00142927420167841</v>
      </c>
      <c r="AP111" s="30" t="str">
        <f t="shared" si="136"/>
        <v>94,2537550591758-245,702319781034i</v>
      </c>
      <c r="AQ111" s="32">
        <f t="shared" si="137"/>
        <v>48.4044110178406</v>
      </c>
      <c r="AR111" s="31">
        <f t="shared" si="138"/>
        <v>-69.0127096655392</v>
      </c>
      <c r="AS111" t="str">
        <f t="shared" si="113"/>
        <v>-0,0000504684572142411</v>
      </c>
      <c r="AT111" t="str">
        <f t="shared" si="114"/>
        <v>0,000120166369619853i</v>
      </c>
      <c r="AU111">
        <f t="shared" si="139"/>
        <v>0.000120166369619853</v>
      </c>
      <c r="AV111">
        <f t="shared" si="140"/>
        <v>1.5707963267949</v>
      </c>
      <c r="AW111" t="str">
        <f t="shared" si="115"/>
        <v>1+0,00615229771757825i</v>
      </c>
      <c r="AX111">
        <f t="shared" si="141"/>
        <v>1.00001892520452</v>
      </c>
      <c r="AY111">
        <f t="shared" si="142"/>
        <v>0.00615222009627816</v>
      </c>
      <c r="AZ111" t="str">
        <f t="shared" si="116"/>
        <v>1+0,294132190880815i</v>
      </c>
      <c r="BA111">
        <f t="shared" si="143"/>
        <v>1.04235970073308</v>
      </c>
      <c r="BB111">
        <f t="shared" si="144"/>
        <v>0.286064827538998</v>
      </c>
      <c r="BC111" s="30" t="str">
        <f t="shared" si="145"/>
        <v>-0,12094357900774+0,420732280381347i</v>
      </c>
      <c r="BD111" s="32">
        <f t="shared" si="146"/>
        <v>-7.17507036870648</v>
      </c>
      <c r="BE111" s="31">
        <f t="shared" si="147"/>
        <v>106.03781103897</v>
      </c>
      <c r="BF111" s="30" t="str">
        <f t="shared" si="148"/>
        <v>17,5886028172683+11,4143435050463i</v>
      </c>
      <c r="BG111" s="68">
        <f t="shared" si="149"/>
        <v>26.4310331064345</v>
      </c>
      <c r="BH111" s="31">
        <f t="shared" si="150"/>
        <v>32.9820587355204</v>
      </c>
      <c r="BI111" s="30" t="str">
        <f t="shared" si="103"/>
        <v>91,9755108246858+69,3717152253744i</v>
      </c>
      <c r="BJ111" s="68">
        <f t="shared" si="151"/>
        <v>41.2293406491341</v>
      </c>
      <c r="BK111" s="31">
        <f t="shared" si="104"/>
        <v>37.0251013734308</v>
      </c>
      <c r="BL111" s="32">
        <f t="shared" si="152"/>
        <v>26.4310331064345</v>
      </c>
      <c r="BM111" s="31">
        <f t="shared" si="153"/>
        <v>32.9820587355204</v>
      </c>
      <c r="BO111">
        <f t="shared" si="154"/>
        <v>0</v>
      </c>
      <c r="BP111">
        <f t="shared" si="155"/>
        <v>0</v>
      </c>
    </row>
    <row r="112" spans="14:68">
      <c r="N112" s="7">
        <v>94</v>
      </c>
      <c r="O112" s="18">
        <f t="shared" si="117"/>
        <v>87.0963589956081</v>
      </c>
      <c r="P112" s="86" t="str">
        <f t="shared" si="105"/>
        <v>163,636363636364</v>
      </c>
      <c r="Q112" s="4" t="str">
        <f t="shared" si="106"/>
        <v>1+3,34315456760754i</v>
      </c>
      <c r="R112" s="4">
        <f t="shared" si="118"/>
        <v>3.48951034715691</v>
      </c>
      <c r="S112" s="4">
        <f t="shared" si="119"/>
        <v>1.28014827363865</v>
      </c>
      <c r="T112" s="4" t="str">
        <f t="shared" si="107"/>
        <v>1+0,00858076339019268i</v>
      </c>
      <c r="U112" s="4">
        <f t="shared" si="120"/>
        <v>1.00003681407254</v>
      </c>
      <c r="V112" s="4">
        <f t="shared" si="121"/>
        <v>0.00858055280038894</v>
      </c>
      <c r="W112" t="str">
        <f t="shared" si="108"/>
        <v>1-0,00820863844725065i</v>
      </c>
      <c r="X112" s="4">
        <f t="shared" si="122"/>
        <v>1.00003369030506</v>
      </c>
      <c r="Y112" s="4">
        <f t="shared" si="123"/>
        <v>-0.00820845408390958</v>
      </c>
      <c r="Z112" t="str">
        <f t="shared" si="109"/>
        <v>0,9999999380753+0,00170036082121621i</v>
      </c>
      <c r="AA112" s="4">
        <f t="shared" si="124"/>
        <v>1.00000138368781</v>
      </c>
      <c r="AB112" s="4">
        <f t="shared" si="125"/>
        <v>0.00170035928780343</v>
      </c>
      <c r="AC112" s="67" t="str">
        <f t="shared" si="126"/>
        <v>13,3797395289634-44,9479040093405i</v>
      </c>
      <c r="AD112" s="68">
        <f t="shared" si="127"/>
        <v>33.42290695395</v>
      </c>
      <c r="AE112" s="31">
        <f t="shared" si="128"/>
        <v>-73.4231969552838</v>
      </c>
      <c r="AF112" s="32" t="str">
        <f t="shared" si="129"/>
        <v>748,315388573934</v>
      </c>
      <c r="AG112" s="32" t="str">
        <f t="shared" si="110"/>
        <v>1+2,72405186990244i</v>
      </c>
      <c r="AH112" s="32">
        <f t="shared" si="130"/>
        <v>2.90180264489489</v>
      </c>
      <c r="AI112" s="32">
        <f t="shared" si="131"/>
        <v>1.21896942715334</v>
      </c>
      <c r="AJ112" s="32" t="str">
        <f t="shared" si="111"/>
        <v>1+0,00858076339019268i</v>
      </c>
      <c r="AK112" s="32">
        <f t="shared" si="132"/>
        <v>1.00003681407254</v>
      </c>
      <c r="AL112" s="32">
        <f t="shared" si="133"/>
        <v>0.00858055280038894</v>
      </c>
      <c r="AM112" s="32" t="str">
        <f t="shared" si="112"/>
        <v>1-0,00146256727054819i</v>
      </c>
      <c r="AN112" s="32">
        <f t="shared" si="134"/>
        <v>1.00000106955094</v>
      </c>
      <c r="AO112" s="32">
        <f t="shared" si="135"/>
        <v>-0.00146256622768884</v>
      </c>
      <c r="AP112" s="30" t="str">
        <f t="shared" si="136"/>
        <v>90,5930310268466-241,453459873594i</v>
      </c>
      <c r="AQ112" s="32">
        <f t="shared" si="137"/>
        <v>48.2286651282548</v>
      </c>
      <c r="AR112" s="31">
        <f t="shared" si="138"/>
        <v>-69.4339729421198</v>
      </c>
      <c r="AS112" t="str">
        <f t="shared" si="113"/>
        <v>-0,0000504684572142411</v>
      </c>
      <c r="AT112" t="str">
        <f t="shared" si="114"/>
        <v>0,000122965403939815i</v>
      </c>
      <c r="AU112">
        <f t="shared" si="139"/>
        <v>0.000122965403939815</v>
      </c>
      <c r="AV112">
        <f t="shared" si="140"/>
        <v>1.5707963267949</v>
      </c>
      <c r="AW112" t="str">
        <f t="shared" si="115"/>
        <v>1+0,0062956031408227i</v>
      </c>
      <c r="AX112">
        <f t="shared" si="141"/>
        <v>1.00001981711309</v>
      </c>
      <c r="AY112">
        <f t="shared" si="142"/>
        <v>0.00629551996819018</v>
      </c>
      <c r="AZ112" t="str">
        <f t="shared" si="116"/>
        <v>1+0,300983409732523i</v>
      </c>
      <c r="BA112">
        <f t="shared" si="143"/>
        <v>1.04431365639554</v>
      </c>
      <c r="BB112">
        <f t="shared" si="144"/>
        <v>0.292358760867851</v>
      </c>
      <c r="BC112" s="30" t="str">
        <f t="shared" si="145"/>
        <v>-0,120943363270881+0,411189512308085i</v>
      </c>
      <c r="BD112" s="32">
        <f t="shared" si="146"/>
        <v>-7.3588112205735</v>
      </c>
      <c r="BE112" s="31">
        <f t="shared" si="147"/>
        <v>106.390216377385</v>
      </c>
      <c r="BF112" s="30" t="str">
        <f t="shared" si="148"/>
        <v>16,8639160305502+10,93775925459i</v>
      </c>
      <c r="BG112" s="68">
        <f t="shared" si="149"/>
        <v>26.0640957333765</v>
      </c>
      <c r="BH112" s="31">
        <f t="shared" si="150"/>
        <v>32.9670194221008</v>
      </c>
      <c r="BI112" s="30" t="str">
        <f t="shared" si="103"/>
        <v>88,3265045492328+66,4530977569434i</v>
      </c>
      <c r="BJ112" s="68">
        <f t="shared" si="151"/>
        <v>40.8698539076813</v>
      </c>
      <c r="BK112" s="31">
        <f t="shared" si="104"/>
        <v>36.956243435265</v>
      </c>
      <c r="BL112" s="32">
        <f t="shared" si="152"/>
        <v>26.0640957333765</v>
      </c>
      <c r="BM112" s="31">
        <f t="shared" si="153"/>
        <v>32.9670194221008</v>
      </c>
      <c r="BO112">
        <f t="shared" si="154"/>
        <v>0</v>
      </c>
      <c r="BP112">
        <f t="shared" si="155"/>
        <v>0</v>
      </c>
    </row>
    <row r="113" spans="14:68">
      <c r="N113" s="7">
        <v>95</v>
      </c>
      <c r="O113" s="18">
        <f t="shared" si="117"/>
        <v>89.1250938133746</v>
      </c>
      <c r="P113" s="86" t="str">
        <f t="shared" si="105"/>
        <v>163,636363636364</v>
      </c>
      <c r="Q113" s="4" t="str">
        <f t="shared" si="106"/>
        <v>1+3,4210266411442i</v>
      </c>
      <c r="R113" s="4">
        <f t="shared" si="118"/>
        <v>3.56418620156388</v>
      </c>
      <c r="S113" s="4">
        <f t="shared" si="119"/>
        <v>1.28640950427591</v>
      </c>
      <c r="T113" s="4" t="str">
        <f t="shared" si="107"/>
        <v>1+0,00878063504560343i</v>
      </c>
      <c r="U113" s="4">
        <f t="shared" si="120"/>
        <v>1.00003854903289</v>
      </c>
      <c r="V113" s="4">
        <f t="shared" si="121"/>
        <v>0.00878040939503301</v>
      </c>
      <c r="W113" t="str">
        <f t="shared" si="108"/>
        <v>1-0,00839984219923798i</v>
      </c>
      <c r="X113" s="4">
        <f t="shared" si="122"/>
        <v>1.00003527805222</v>
      </c>
      <c r="Y113" s="4">
        <f t="shared" si="123"/>
        <v>-0.00839964465073522</v>
      </c>
      <c r="Z113" t="str">
        <f t="shared" si="109"/>
        <v>0,999999935156879+0,00173996731269929i</v>
      </c>
      <c r="AA113" s="4">
        <f t="shared" si="124"/>
        <v>1.00000144889896</v>
      </c>
      <c r="AB113" s="4">
        <f t="shared" si="125"/>
        <v>0.00173996566961802</v>
      </c>
      <c r="AC113" s="67" t="str">
        <f t="shared" si="126"/>
        <v>12,8223008362759-44,0878634882998i</v>
      </c>
      <c r="AD113" s="68">
        <f t="shared" si="127"/>
        <v>33.2390173653069</v>
      </c>
      <c r="AE113" s="31">
        <f t="shared" si="128"/>
        <v>-73.7837117970574</v>
      </c>
      <c r="AF113" s="32" t="str">
        <f t="shared" si="129"/>
        <v>748,315388573934</v>
      </c>
      <c r="AG113" s="32" t="str">
        <f t="shared" si="110"/>
        <v>1+2,78750318908045i</v>
      </c>
      <c r="AH113" s="32">
        <f t="shared" si="130"/>
        <v>2.96144796157786</v>
      </c>
      <c r="AI113" s="32">
        <f t="shared" si="131"/>
        <v>1.22635310302892</v>
      </c>
      <c r="AJ113" s="32" t="str">
        <f t="shared" si="111"/>
        <v>1+0,00878063504560343i</v>
      </c>
      <c r="AK113" s="32">
        <f t="shared" si="132"/>
        <v>1.00003854903289</v>
      </c>
      <c r="AL113" s="32">
        <f t="shared" si="133"/>
        <v>0.00878040939503301</v>
      </c>
      <c r="AM113" s="32" t="str">
        <f t="shared" si="112"/>
        <v>1-0,00149663483869115i</v>
      </c>
      <c r="AN113" s="32">
        <f t="shared" si="134"/>
        <v>1.00000111995729</v>
      </c>
      <c r="AO113" s="32">
        <f t="shared" si="135"/>
        <v>-0.00149663372124729</v>
      </c>
      <c r="AP113" s="30" t="str">
        <f t="shared" si="136"/>
        <v>87,0586086050294-237,225419678218i</v>
      </c>
      <c r="AQ113" s="32">
        <f t="shared" si="137"/>
        <v>48.0519559666117</v>
      </c>
      <c r="AR113" s="31">
        <f t="shared" si="138"/>
        <v>-69.8475273913014</v>
      </c>
      <c r="AS113" t="str">
        <f t="shared" si="113"/>
        <v>-0,0000504684572142411</v>
      </c>
      <c r="AT113" t="str">
        <f t="shared" si="114"/>
        <v>0,000125829636144585i</v>
      </c>
      <c r="AU113">
        <f t="shared" si="139"/>
        <v>0.000125829636144585</v>
      </c>
      <c r="AV113">
        <f t="shared" si="140"/>
        <v>1.5707963267949</v>
      </c>
      <c r="AW113" t="str">
        <f t="shared" si="115"/>
        <v>1+0,00644224657618459i</v>
      </c>
      <c r="AX113">
        <f t="shared" si="141"/>
        <v>1.00002075105517</v>
      </c>
      <c r="AY113">
        <f t="shared" si="142"/>
        <v>0.00644215745520305</v>
      </c>
      <c r="AZ113" t="str">
        <f t="shared" si="116"/>
        <v>1+0,307994213972059i</v>
      </c>
      <c r="BA113">
        <f t="shared" si="143"/>
        <v>1.04635578836277</v>
      </c>
      <c r="BB113">
        <f t="shared" si="144"/>
        <v>0.298774703643499</v>
      </c>
      <c r="BC113" s="30" t="str">
        <f t="shared" si="145"/>
        <v>-0,120943137367483+0,401864762228939i</v>
      </c>
      <c r="BD113" s="32">
        <f t="shared" si="146"/>
        <v>-7.54185085520059</v>
      </c>
      <c r="BE113" s="31">
        <f t="shared" si="147"/>
        <v>106.749421110903</v>
      </c>
      <c r="BF113" s="30" t="str">
        <f t="shared" si="148"/>
        <v>16,1665894864986+10,4849554069022i</v>
      </c>
      <c r="BG113" s="68">
        <f t="shared" si="149"/>
        <v>25.6971665101063</v>
      </c>
      <c r="BH113" s="31">
        <f t="shared" si="150"/>
        <v>32.9657093138451</v>
      </c>
      <c r="BI113" s="30" t="str">
        <f t="shared" si="103"/>
        <v>84,8033956141073+63,6765735662439i</v>
      </c>
      <c r="BJ113" s="68">
        <f t="shared" si="151"/>
        <v>40.5101051114111</v>
      </c>
      <c r="BK113" s="31">
        <f t="shared" si="104"/>
        <v>36.9018937196011</v>
      </c>
      <c r="BL113" s="32">
        <f t="shared" si="152"/>
        <v>25.6971665101063</v>
      </c>
      <c r="BM113" s="31">
        <f t="shared" si="153"/>
        <v>32.9657093138451</v>
      </c>
      <c r="BO113">
        <f t="shared" si="154"/>
        <v>0</v>
      </c>
      <c r="BP113">
        <f t="shared" si="155"/>
        <v>0</v>
      </c>
    </row>
    <row r="114" spans="14:68">
      <c r="N114" s="7">
        <v>96</v>
      </c>
      <c r="O114" s="18">
        <f t="shared" si="117"/>
        <v>91.201083935591</v>
      </c>
      <c r="P114" s="86" t="str">
        <f t="shared" si="105"/>
        <v>163,636363636364</v>
      </c>
      <c r="Q114" s="4" t="str">
        <f t="shared" si="106"/>
        <v>1+3,50071258828862i</v>
      </c>
      <c r="R114" s="4">
        <f t="shared" si="118"/>
        <v>3.64074012060768</v>
      </c>
      <c r="S114" s="4">
        <f t="shared" si="119"/>
        <v>1.29255043791673</v>
      </c>
      <c r="T114" s="4" t="str">
        <f t="shared" si="107"/>
        <v>1+0,00898516230994079i</v>
      </c>
      <c r="U114" s="4">
        <f t="shared" si="120"/>
        <v>1.00004036575617</v>
      </c>
      <c r="V114" s="4">
        <f t="shared" si="121"/>
        <v>0.00898492052152546</v>
      </c>
      <c r="W114" t="str">
        <f t="shared" si="108"/>
        <v>1-0,00859549965874438i</v>
      </c>
      <c r="X114" s="4">
        <f t="shared" si="122"/>
        <v>1.00003694062489</v>
      </c>
      <c r="Y114" s="4">
        <f t="shared" si="123"/>
        <v>-0.00859528798213226</v>
      </c>
      <c r="Z114" t="str">
        <f t="shared" si="109"/>
        <v>0,999999932100917+0,00178049635788276i</v>
      </c>
      <c r="AA114" s="4">
        <f t="shared" si="124"/>
        <v>1.00000151718341</v>
      </c>
      <c r="AB114" s="4">
        <f t="shared" si="125"/>
        <v>0.0017804945972896</v>
      </c>
      <c r="AC114" s="67" t="str">
        <f t="shared" si="126"/>
        <v>12,2860762158715-43,2376344552647i</v>
      </c>
      <c r="AD114" s="68">
        <f t="shared" si="127"/>
        <v>33.054461088534</v>
      </c>
      <c r="AE114" s="31">
        <f t="shared" si="128"/>
        <v>-74.1373754262176</v>
      </c>
      <c r="AF114" s="32" t="str">
        <f t="shared" si="129"/>
        <v>748,315388573934</v>
      </c>
      <c r="AG114" s="32" t="str">
        <f t="shared" si="110"/>
        <v>1+2,85243247934628i</v>
      </c>
      <c r="AH114" s="32">
        <f t="shared" si="130"/>
        <v>3.02264305686754</v>
      </c>
      <c r="AI114" s="32">
        <f t="shared" si="131"/>
        <v>1.23360670121201</v>
      </c>
      <c r="AJ114" s="32" t="str">
        <f t="shared" si="111"/>
        <v>1+0,00898516230994079i</v>
      </c>
      <c r="AK114" s="32">
        <f t="shared" si="132"/>
        <v>1.00004036575617</v>
      </c>
      <c r="AL114" s="32">
        <f t="shared" si="133"/>
        <v>0.00898492052152546</v>
      </c>
      <c r="AM114" s="32" t="str">
        <f t="shared" si="112"/>
        <v>1-0,00153149594243589i</v>
      </c>
      <c r="AN114" s="32">
        <f t="shared" si="134"/>
        <v>1.00000117273922</v>
      </c>
      <c r="AO114" s="32">
        <f t="shared" si="135"/>
        <v>-0.0015314947450733</v>
      </c>
      <c r="AP114" s="30" t="str">
        <f t="shared" si="136"/>
        <v>83,64761842514-233,021490371734i</v>
      </c>
      <c r="AQ114" s="32">
        <f t="shared" si="137"/>
        <v>47.8743170274804</v>
      </c>
      <c r="AR114" s="31">
        <f t="shared" si="138"/>
        <v>-70.2534077185993</v>
      </c>
      <c r="AS114" t="str">
        <f t="shared" si="113"/>
        <v>-0,0000504684572142411</v>
      </c>
      <c r="AT114" t="str">
        <f t="shared" si="114"/>
        <v>0,000128760584887991i</v>
      </c>
      <c r="AU114">
        <f t="shared" si="139"/>
        <v>0.000128760584887991</v>
      </c>
      <c r="AV114">
        <f t="shared" si="140"/>
        <v>1.5707963267949</v>
      </c>
      <c r="AW114" t="str">
        <f t="shared" si="115"/>
        <v>1+0,00659230577595437i</v>
      </c>
      <c r="AX114">
        <f t="shared" si="141"/>
        <v>1.00002172901165</v>
      </c>
      <c r="AY114">
        <f t="shared" si="142"/>
        <v>0.00659221028121422</v>
      </c>
      <c r="AZ114" t="str">
        <f t="shared" si="116"/>
        <v>1+0,315168320820627i</v>
      </c>
      <c r="BA114">
        <f t="shared" si="143"/>
        <v>1.04848990002236</v>
      </c>
      <c r="BB114">
        <f t="shared" si="144"/>
        <v>0.305313944041599</v>
      </c>
      <c r="BC114" s="30" t="str">
        <f t="shared" si="145"/>
        <v>-0,12094290081849+0,392753086028831i</v>
      </c>
      <c r="BD114" s="32">
        <f t="shared" si="146"/>
        <v>-7.72416194589023</v>
      </c>
      <c r="BE114" s="31">
        <f t="shared" si="147"/>
        <v>107.115494593301</v>
      </c>
      <c r="BF114" s="30" t="str">
        <f t="shared" si="148"/>
        <v>15,4958006676672+10,0546792845182i</v>
      </c>
      <c r="BG114" s="68">
        <f t="shared" si="149"/>
        <v>25.3302991426438</v>
      </c>
      <c r="BH114" s="31">
        <f t="shared" si="150"/>
        <v>32.9781191670832</v>
      </c>
      <c r="BI114" s="30" t="str">
        <f t="shared" ref="BI114:BI177" si="156">IMPRODUCT(AP114,BC114)</f>
        <v>81,4033238356415+61,0351552740412i</v>
      </c>
      <c r="BJ114" s="68">
        <f t="shared" si="151"/>
        <v>40.1501550815902</v>
      </c>
      <c r="BK114" s="31">
        <f t="shared" ref="BK114:BK177" si="157">(180/PI())*IMARGUMENT(BI114)</f>
        <v>36.8620868747014</v>
      </c>
      <c r="BL114" s="32">
        <f t="shared" si="152"/>
        <v>25.3302991426438</v>
      </c>
      <c r="BM114" s="31">
        <f t="shared" si="153"/>
        <v>32.9781191670832</v>
      </c>
      <c r="BO114">
        <f t="shared" si="154"/>
        <v>0</v>
      </c>
      <c r="BP114">
        <f t="shared" si="155"/>
        <v>0</v>
      </c>
    </row>
    <row r="115" spans="14:68">
      <c r="N115" s="7">
        <v>97</v>
      </c>
      <c r="O115" s="18">
        <f t="shared" si="117"/>
        <v>93.3254300796992</v>
      </c>
      <c r="P115" s="86" t="str">
        <f t="shared" si="105"/>
        <v>163,636363636364</v>
      </c>
      <c r="Q115" s="4" t="str">
        <f t="shared" si="106"/>
        <v>1+3,58225465958477i</v>
      </c>
      <c r="R115" s="4">
        <f t="shared" si="118"/>
        <v>3.71921341766197</v>
      </c>
      <c r="S115" s="4">
        <f t="shared" si="119"/>
        <v>1.29857247720141</v>
      </c>
      <c r="T115" s="4" t="str">
        <f t="shared" si="107"/>
        <v>1+0,00919445362626756i</v>
      </c>
      <c r="U115" s="4">
        <f t="shared" si="120"/>
        <v>1.00004226809545</v>
      </c>
      <c r="V115" s="4">
        <f t="shared" si="121"/>
        <v>0.00919419454590416</v>
      </c>
      <c r="W115" t="str">
        <f t="shared" si="108"/>
        <v>1-0,00879571456594474i</v>
      </c>
      <c r="X115" s="4">
        <f t="shared" si="122"/>
        <v>1.00003868154923</v>
      </c>
      <c r="Y115" s="4">
        <f t="shared" si="123"/>
        <v>-0.00879548775084222</v>
      </c>
      <c r="Z115" t="str">
        <f t="shared" si="109"/>
        <v>0,999999928900931+0,00182196944580284i</v>
      </c>
      <c r="AA115" s="4">
        <f t="shared" si="124"/>
        <v>1.000001588686</v>
      </c>
      <c r="AB115" s="4">
        <f t="shared" si="125"/>
        <v>0.00182196755929345</v>
      </c>
      <c r="AC115" s="67" t="str">
        <f t="shared" si="126"/>
        <v>11,7704139652251-42,397535892797i</v>
      </c>
      <c r="AD115" s="68">
        <f t="shared" si="127"/>
        <v>32.8692637058801</v>
      </c>
      <c r="AE115" s="31">
        <f t="shared" si="128"/>
        <v>-74.4842691704264</v>
      </c>
      <c r="AF115" s="32" t="str">
        <f t="shared" si="129"/>
        <v>748,315388573934</v>
      </c>
      <c r="AG115" s="32" t="str">
        <f t="shared" si="110"/>
        <v>1+2,91887416706907i</v>
      </c>
      <c r="AH115" s="32">
        <f t="shared" si="130"/>
        <v>3.08542159245429</v>
      </c>
      <c r="AI115" s="32">
        <f t="shared" si="131"/>
        <v>1.24073101353968</v>
      </c>
      <c r="AJ115" s="32" t="str">
        <f t="shared" si="111"/>
        <v>1+0,00919445362626756i</v>
      </c>
      <c r="AK115" s="32">
        <f t="shared" si="132"/>
        <v>1.00004226809545</v>
      </c>
      <c r="AL115" s="32">
        <f t="shared" si="133"/>
        <v>0.00919419454590416</v>
      </c>
      <c r="AM115" s="32" t="str">
        <f t="shared" si="112"/>
        <v>1-0,00156716906560106i</v>
      </c>
      <c r="AN115" s="32">
        <f t="shared" si="134"/>
        <v>1.00000122800869</v>
      </c>
      <c r="AO115" s="32">
        <f t="shared" si="135"/>
        <v>-0.00156716778260401</v>
      </c>
      <c r="AP115" s="30" t="str">
        <f t="shared" si="136"/>
        <v>80,3571354250645-228,844752322112i</v>
      </c>
      <c r="AQ115" s="32">
        <f t="shared" si="137"/>
        <v>47.6957810303384</v>
      </c>
      <c r="AR115" s="31">
        <f t="shared" si="138"/>
        <v>-70.6516541430422</v>
      </c>
      <c r="AS115" t="str">
        <f t="shared" si="113"/>
        <v>-0,0000504684572142411</v>
      </c>
      <c r="AT115" t="str">
        <f t="shared" si="114"/>
        <v>0,000131759804197852i</v>
      </c>
      <c r="AU115">
        <f t="shared" si="139"/>
        <v>0.000131759804197852</v>
      </c>
      <c r="AV115">
        <f t="shared" si="140"/>
        <v>1.5707963267949</v>
      </c>
      <c r="AW115" t="str">
        <f t="shared" si="115"/>
        <v>1+0,00674586030350605i</v>
      </c>
      <c r="AX115">
        <f t="shared" si="141"/>
        <v>1.00002275305677</v>
      </c>
      <c r="AY115">
        <f t="shared" si="142"/>
        <v>0.00674575797917417</v>
      </c>
      <c r="AZ115" t="str">
        <f t="shared" si="116"/>
        <v>1+0,32250953408464i</v>
      </c>
      <c r="BA115">
        <f t="shared" si="143"/>
        <v>1.05071994345567</v>
      </c>
      <c r="BB115">
        <f t="shared" si="144"/>
        <v>0.311977711416962</v>
      </c>
      <c r="BC115" s="30" t="str">
        <f t="shared" si="145"/>
        <v>-0,120942653122278+0,383849652566621i</v>
      </c>
      <c r="BD115" s="32">
        <f t="shared" si="146"/>
        <v>-7.90571635529022</v>
      </c>
      <c r="BE115" s="31">
        <f t="shared" si="147"/>
        <v>107.488502704519</v>
      </c>
      <c r="BF115" s="30" t="str">
        <f t="shared" si="148"/>
        <v>14,8507343288291+9,64573978783884i</v>
      </c>
      <c r="BG115" s="68">
        <f t="shared" si="149"/>
        <v>24.9635473505899</v>
      </c>
      <c r="BH115" s="31">
        <f t="shared" si="150"/>
        <v>33.0042335340925</v>
      </c>
      <c r="BI115" s="30" t="str">
        <f t="shared" si="156"/>
        <v>78,1233735149236+58,5221500131067i</v>
      </c>
      <c r="BJ115" s="68">
        <f t="shared" si="151"/>
        <v>39.7900646750481</v>
      </c>
      <c r="BK115" s="31">
        <f t="shared" si="157"/>
        <v>36.8368485614767</v>
      </c>
      <c r="BL115" s="32">
        <f t="shared" si="152"/>
        <v>24.9635473505899</v>
      </c>
      <c r="BM115" s="31">
        <f t="shared" si="153"/>
        <v>33.0042335340925</v>
      </c>
      <c r="BO115">
        <f t="shared" si="154"/>
        <v>0</v>
      </c>
      <c r="BP115">
        <f t="shared" si="155"/>
        <v>0</v>
      </c>
    </row>
    <row r="116" spans="14:68">
      <c r="N116" s="7">
        <v>98</v>
      </c>
      <c r="O116" s="18">
        <f t="shared" si="117"/>
        <v>95.4992586021437</v>
      </c>
      <c r="P116" s="86" t="str">
        <f t="shared" si="105"/>
        <v>163,636363636364</v>
      </c>
      <c r="Q116" s="4" t="str">
        <f t="shared" si="106"/>
        <v>1+3,66569608971817i</v>
      </c>
      <c r="R116" s="4">
        <f t="shared" si="118"/>
        <v>3.79964838138677</v>
      </c>
      <c r="S116" s="4">
        <f t="shared" si="119"/>
        <v>1.30447706729623</v>
      </c>
      <c r="T116" s="4" t="str">
        <f t="shared" si="107"/>
        <v>1+0,00940861996360996i</v>
      </c>
      <c r="U116" s="4">
        <f t="shared" si="120"/>
        <v>1.00004426008533</v>
      </c>
      <c r="V116" s="4">
        <f t="shared" si="121"/>
        <v>0.00940834235466254</v>
      </c>
      <c r="W116" t="str">
        <f t="shared" si="108"/>
        <v>1-0,009000593077433i</v>
      </c>
      <c r="X116" s="4">
        <f t="shared" si="122"/>
        <v>1.00004050451756</v>
      </c>
      <c r="Y116" s="4">
        <f t="shared" si="123"/>
        <v>-0.00900035004120357</v>
      </c>
      <c r="Z116" t="str">
        <f t="shared" si="109"/>
        <v>0,999999925550136+0,00186440856603969i</v>
      </c>
      <c r="AA116" s="4">
        <f t="shared" si="124"/>
        <v>1.00000166355841</v>
      </c>
      <c r="AB116" s="4">
        <f t="shared" si="125"/>
        <v>0.00186440654460863</v>
      </c>
      <c r="AC116" s="67" t="str">
        <f t="shared" si="126"/>
        <v>11,2746694667277-41,5678538267513i</v>
      </c>
      <c r="AD116" s="68">
        <f t="shared" si="127"/>
        <v>32.6834500105461</v>
      </c>
      <c r="AE116" s="31">
        <f t="shared" si="128"/>
        <v>-74.8244768163448</v>
      </c>
      <c r="AF116" s="32" t="str">
        <f t="shared" si="129"/>
        <v>748,315388573934</v>
      </c>
      <c r="AG116" s="32" t="str">
        <f t="shared" si="110"/>
        <v>1+2,9868634805111i</v>
      </c>
      <c r="AH116" s="32">
        <f t="shared" si="130"/>
        <v>3.1498180028711</v>
      </c>
      <c r="AI116" s="32">
        <f t="shared" si="131"/>
        <v>1.24772692368646</v>
      </c>
      <c r="AJ116" s="32" t="str">
        <f t="shared" si="111"/>
        <v>1+0,00940861996360996i</v>
      </c>
      <c r="AK116" s="32">
        <f t="shared" si="132"/>
        <v>1.00004426008533</v>
      </c>
      <c r="AL116" s="32">
        <f t="shared" si="133"/>
        <v>0.00940834235466254</v>
      </c>
      <c r="AM116" s="32" t="str">
        <f t="shared" si="112"/>
        <v>1-0,00160367312254874i</v>
      </c>
      <c r="AN116" s="32">
        <f t="shared" si="134"/>
        <v>1.00000128588292</v>
      </c>
      <c r="AO116" s="32">
        <f t="shared" si="135"/>
        <v>-0.00160367174779273</v>
      </c>
      <c r="AP116" s="30" t="str">
        <f t="shared" si="136"/>
        <v>77,1841910496498-224,698079690823i</v>
      </c>
      <c r="AQ116" s="32">
        <f t="shared" si="137"/>
        <v>47.5163799063719</v>
      </c>
      <c r="AR116" s="31">
        <f t="shared" si="138"/>
        <v>-71.0423120258125</v>
      </c>
      <c r="AS116" t="str">
        <f t="shared" si="113"/>
        <v>-0,0000504684572142411</v>
      </c>
      <c r="AT116" t="str">
        <f t="shared" si="114"/>
        <v>0,000134828884299946i</v>
      </c>
      <c r="AU116">
        <f t="shared" si="139"/>
        <v>0.000134828884299946</v>
      </c>
      <c r="AV116">
        <f t="shared" si="140"/>
        <v>1.5707963267949</v>
      </c>
      <c r="AW116" t="str">
        <f t="shared" si="115"/>
        <v>1+0,00690299157548266i</v>
      </c>
      <c r="AX116">
        <f t="shared" si="141"/>
        <v>1.00002382536252</v>
      </c>
      <c r="AY116">
        <f t="shared" si="142"/>
        <v>0.00690288193312673</v>
      </c>
      <c r="AZ116" t="str">
        <f t="shared" si="116"/>
        <v>1+0,330021746172543i</v>
      </c>
      <c r="BA116">
        <f t="shared" si="143"/>
        <v>1.0530500239527</v>
      </c>
      <c r="BB116">
        <f t="shared" si="144"/>
        <v>0.318767170874077</v>
      </c>
      <c r="BC116" s="30" t="str">
        <f t="shared" si="145"/>
        <v>-0,120942393753591+0,375149741113521i</v>
      </c>
      <c r="BD116" s="32">
        <f t="shared" si="146"/>
        <v>-8.0864851335504</v>
      </c>
      <c r="BE116" s="31">
        <f t="shared" si="147"/>
        <v>107.868507537165</v>
      </c>
      <c r="BF116" s="30" t="str">
        <f t="shared" si="148"/>
        <v>14,2305840876639+9,25700507659009i</v>
      </c>
      <c r="BG116" s="68">
        <f t="shared" si="149"/>
        <v>24.5969648769957</v>
      </c>
      <c r="BH116" s="31">
        <f t="shared" si="150"/>
        <v>33.04403072082</v>
      </c>
      <c r="BI116" s="30" t="str">
        <f t="shared" si="156"/>
        <v>74,9605855992384+56,1311529199759i</v>
      </c>
      <c r="BJ116" s="68">
        <f t="shared" si="151"/>
        <v>39.4298947728214</v>
      </c>
      <c r="BK116" s="31">
        <f t="shared" si="157"/>
        <v>36.8261955113523</v>
      </c>
      <c r="BL116" s="32">
        <f t="shared" si="152"/>
        <v>24.5969648769957</v>
      </c>
      <c r="BM116" s="31">
        <f t="shared" si="153"/>
        <v>33.04403072082</v>
      </c>
      <c r="BO116">
        <f t="shared" si="154"/>
        <v>0</v>
      </c>
      <c r="BP116">
        <f t="shared" si="155"/>
        <v>0</v>
      </c>
    </row>
    <row r="117" spans="14:68">
      <c r="N117" s="7">
        <v>99</v>
      </c>
      <c r="O117" s="18">
        <f t="shared" si="117"/>
        <v>97.7237220955811</v>
      </c>
      <c r="P117" s="86" t="str">
        <f t="shared" si="105"/>
        <v>163,636363636364</v>
      </c>
      <c r="Q117" s="4" t="str">
        <f t="shared" si="106"/>
        <v>1+3,75108112043956i</v>
      </c>
      <c r="R117" s="4">
        <f t="shared" si="118"/>
        <v>3.882088300402</v>
      </c>
      <c r="S117" s="4">
        <f t="shared" si="119"/>
        <v>1.31026569136444</v>
      </c>
      <c r="T117" s="4" t="str">
        <f t="shared" si="107"/>
        <v>1+0,00962777487579487i</v>
      </c>
      <c r="U117" s="4">
        <f t="shared" si="120"/>
        <v>1.00004634595056</v>
      </c>
      <c r="V117" s="4">
        <f t="shared" si="121"/>
        <v>0.00962747741319295</v>
      </c>
      <c r="W117" t="str">
        <f t="shared" si="108"/>
        <v>1-0,00921024382250785i</v>
      </c>
      <c r="X117" s="4">
        <f t="shared" si="122"/>
        <v>1.00004241339619</v>
      </c>
      <c r="Y117" s="4">
        <f t="shared" si="123"/>
        <v>-0.00920998340509266</v>
      </c>
      <c r="Z117" t="str">
        <f t="shared" si="109"/>
        <v>0,999999922041422+0,00190783622037662i</v>
      </c>
      <c r="AA117" s="4">
        <f t="shared" si="124"/>
        <v>1.00000174195943</v>
      </c>
      <c r="AB117" s="4">
        <f t="shared" si="125"/>
        <v>0.00190783405437442</v>
      </c>
      <c r="AC117" s="67" t="str">
        <f t="shared" si="126"/>
        <v>10,7982063267472-40,7488428440457i</v>
      </c>
      <c r="AD117" s="68">
        <f t="shared" si="127"/>
        <v>32.4970440161894</v>
      </c>
      <c r="AE117" s="31">
        <f t="shared" si="128"/>
        <v>-75.1580843506644</v>
      </c>
      <c r="AF117" s="32" t="str">
        <f t="shared" si="129"/>
        <v>748,315388573934</v>
      </c>
      <c r="AG117" s="32" t="str">
        <f t="shared" si="110"/>
        <v>1+3,05643646850631i</v>
      </c>
      <c r="AH117" s="32">
        <f t="shared" si="130"/>
        <v>3.21586751686311</v>
      </c>
      <c r="AI117" s="32">
        <f t="shared" si="131"/>
        <v>1.25459540088046</v>
      </c>
      <c r="AJ117" s="32" t="str">
        <f t="shared" si="111"/>
        <v>1+0,00962777487579487i</v>
      </c>
      <c r="AK117" s="32">
        <f t="shared" si="132"/>
        <v>1.00004634595056</v>
      </c>
      <c r="AL117" s="32">
        <f t="shared" si="133"/>
        <v>0.00962747741319295</v>
      </c>
      <c r="AM117" s="32" t="str">
        <f t="shared" si="112"/>
        <v>1-0,00164102746821312i</v>
      </c>
      <c r="AN117" s="32">
        <f t="shared" si="134"/>
        <v>1.00000134648467</v>
      </c>
      <c r="AO117" s="32">
        <f t="shared" si="135"/>
        <v>-0.00164102599513562</v>
      </c>
      <c r="AP117" s="30" t="str">
        <f t="shared" si="136"/>
        <v>74,1257846788085-220,58414555921i</v>
      </c>
      <c r="AQ117" s="32">
        <f t="shared" si="137"/>
        <v>47.3361447884465</v>
      </c>
      <c r="AR117" s="31">
        <f t="shared" si="138"/>
        <v>-71.4254315074331</v>
      </c>
      <c r="AS117" t="str">
        <f t="shared" si="113"/>
        <v>-0,0000504684572142411</v>
      </c>
      <c r="AT117" t="str">
        <f t="shared" si="114"/>
        <v>0,000137969452461168i</v>
      </c>
      <c r="AU117">
        <f t="shared" si="139"/>
        <v>0.000137969452461168</v>
      </c>
      <c r="AV117">
        <f t="shared" si="140"/>
        <v>1.5707963267949</v>
      </c>
      <c r="AW117" t="str">
        <f t="shared" si="115"/>
        <v>1+0,00706378290496448i</v>
      </c>
      <c r="AX117">
        <f t="shared" si="141"/>
        <v>1.00002494820326</v>
      </c>
      <c r="AY117">
        <f t="shared" si="142"/>
        <v>0.00706366542122173</v>
      </c>
      <c r="AZ117" t="str">
        <f t="shared" si="116"/>
        <v>1+0,33770894015862i</v>
      </c>
      <c r="BA117">
        <f t="shared" si="143"/>
        <v>1.05548440455701</v>
      </c>
      <c r="BB117">
        <f t="shared" si="144"/>
        <v>0.325683417636613</v>
      </c>
      <c r="BC117" s="30" t="str">
        <f t="shared" si="145"/>
        <v>-0,120942122162425+0,366648738850055i</v>
      </c>
      <c r="BD117" s="32">
        <f t="shared" si="146"/>
        <v>-8.26643851871293</v>
      </c>
      <c r="BE117" s="31">
        <f t="shared" si="147"/>
        <v>108.255567071446</v>
      </c>
      <c r="BF117" s="30" t="str">
        <f t="shared" si="148"/>
        <v>13,6345538496639+8,88740026076658i</v>
      </c>
      <c r="BG117" s="68">
        <f t="shared" si="149"/>
        <v>24.2306054974765</v>
      </c>
      <c r="BH117" s="31">
        <f t="shared" si="150"/>
        <v>33.0974827207815</v>
      </c>
      <c r="BI117" s="30" t="str">
        <f t="shared" si="156"/>
        <v>71,9119690735912+53,856040148072i</v>
      </c>
      <c r="BJ117" s="68">
        <f t="shared" si="151"/>
        <v>39.0697062697336</v>
      </c>
      <c r="BK117" s="31">
        <f t="shared" si="157"/>
        <v>36.8301355640128</v>
      </c>
      <c r="BL117" s="32">
        <f t="shared" si="152"/>
        <v>24.2306054974765</v>
      </c>
      <c r="BM117" s="31">
        <f t="shared" si="153"/>
        <v>33.0974827207815</v>
      </c>
      <c r="BO117">
        <f t="shared" si="154"/>
        <v>0</v>
      </c>
      <c r="BP117">
        <f t="shared" si="155"/>
        <v>0</v>
      </c>
    </row>
    <row r="118" spans="14:68">
      <c r="N118" s="7">
        <v>100</v>
      </c>
      <c r="O118" s="18">
        <f t="shared" si="117"/>
        <v>100</v>
      </c>
      <c r="P118" s="86" t="str">
        <f t="shared" si="105"/>
        <v>163,636363636364</v>
      </c>
      <c r="Q118" s="4" t="str">
        <f t="shared" si="106"/>
        <v>1+3,83845502402244i</v>
      </c>
      <c r="R118" s="4">
        <f t="shared" si="118"/>
        <v>3.96657748839514</v>
      </c>
      <c r="S118" s="4">
        <f t="shared" si="119"/>
        <v>1.31593986625033</v>
      </c>
      <c r="T118" s="4" t="str">
        <f t="shared" si="107"/>
        <v>1+0,0098520345616576i</v>
      </c>
      <c r="U118" s="4">
        <f t="shared" si="120"/>
        <v>1.00004853011492</v>
      </c>
      <c r="V118" s="4">
        <f t="shared" si="121"/>
        <v>0.00985171582557244</v>
      </c>
      <c r="W118" t="str">
        <f t="shared" si="108"/>
        <v>1-0,0094247779607694i</v>
      </c>
      <c r="X118" s="4">
        <f t="shared" si="122"/>
        <v>1.00004441223358</v>
      </c>
      <c r="Y118" s="4">
        <f t="shared" si="123"/>
        <v>-0.00942449891915089</v>
      </c>
      <c r="Z118" t="str">
        <f t="shared" si="109"/>
        <v>0,999999918367347+0,0019522754347308i</v>
      </c>
      <c r="AA118" s="4">
        <f t="shared" si="124"/>
        <v>1.00000182405537</v>
      </c>
      <c r="AB118" s="4">
        <f t="shared" si="125"/>
        <v>0.00195227311381786</v>
      </c>
      <c r="AC118" s="67" t="str">
        <f t="shared" si="126"/>
        <v>10,3403973888847-39,9407276026183i</v>
      </c>
      <c r="AD118" s="68">
        <f t="shared" si="127"/>
        <v>32.3100689677495</v>
      </c>
      <c r="AE118" s="31">
        <f t="shared" si="128"/>
        <v>-75.4851797133577</v>
      </c>
      <c r="AF118" s="32" t="str">
        <f t="shared" si="129"/>
        <v>748,315388573934</v>
      </c>
      <c r="AG118" s="32" t="str">
        <f t="shared" si="110"/>
        <v>1+3,12763001957384i</v>
      </c>
      <c r="AH118" s="32">
        <f t="shared" si="130"/>
        <v>3.28360617908717</v>
      </c>
      <c r="AI118" s="32">
        <f t="shared" si="131"/>
        <v>1.26133749378475</v>
      </c>
      <c r="AJ118" s="32" t="str">
        <f t="shared" si="111"/>
        <v>1+0,0098520345616576i</v>
      </c>
      <c r="AK118" s="32">
        <f t="shared" si="132"/>
        <v>1.00004853011492</v>
      </c>
      <c r="AL118" s="32">
        <f t="shared" si="133"/>
        <v>0.00985171582557244</v>
      </c>
      <c r="AM118" s="32" t="str">
        <f t="shared" si="112"/>
        <v>1-0,00167925190836272i</v>
      </c>
      <c r="AN118" s="32">
        <f t="shared" si="134"/>
        <v>1.00000140994249</v>
      </c>
      <c r="AO118" s="32">
        <f t="shared" si="135"/>
        <v>-0.00167925032993186</v>
      </c>
      <c r="AP118" s="30" t="str">
        <f t="shared" si="136"/>
        <v>71,1788942857669-216,505427501307i</v>
      </c>
      <c r="AQ118" s="32">
        <f t="shared" si="137"/>
        <v>47.1551060040398</v>
      </c>
      <c r="AR118" s="31">
        <f t="shared" si="138"/>
        <v>-71.8010671543583</v>
      </c>
      <c r="AS118" t="str">
        <f t="shared" si="113"/>
        <v>-0,0000504684572142411</v>
      </c>
      <c r="AT118" t="str">
        <f t="shared" si="114"/>
        <v>0,000141183173852325i</v>
      </c>
      <c r="AU118">
        <f t="shared" si="139"/>
        <v>0.000141183173852325</v>
      </c>
      <c r="AV118">
        <f t="shared" si="140"/>
        <v>1.5707963267949</v>
      </c>
      <c r="AW118" t="str">
        <f t="shared" si="115"/>
        <v>1+0,00722831954564274i</v>
      </c>
      <c r="AX118">
        <f t="shared" si="141"/>
        <v>1.0000261239605</v>
      </c>
      <c r="AY118">
        <f t="shared" si="142"/>
        <v>0.00722819365972194</v>
      </c>
      <c r="AZ118" t="str">
        <f t="shared" si="116"/>
        <v>1+0,345575191894877i</v>
      </c>
      <c r="BA118">
        <f t="shared" si="143"/>
        <v>1.05802751063154</v>
      </c>
      <c r="BB118">
        <f t="shared" si="144"/>
        <v>0.332727471223119</v>
      </c>
      <c r="BC118" s="30" t="str">
        <f t="shared" si="145"/>
        <v>-0,120941837772872+0,358342138420234i</v>
      </c>
      <c r="BD118" s="32">
        <f t="shared" si="146"/>
        <v>-8.44554593953123</v>
      </c>
      <c r="BE118" s="31">
        <f t="shared" si="147"/>
        <v>108.64973483894</v>
      </c>
      <c r="BF118" s="30" t="str">
        <f t="shared" si="148"/>
        <v>13,0618590756688+8,53590511069428i</v>
      </c>
      <c r="BG118" s="68">
        <f t="shared" si="149"/>
        <v>23.8645230282183</v>
      </c>
      <c r="BH118" s="31">
        <f t="shared" si="150"/>
        <v>33.1645551255823</v>
      </c>
      <c r="BI118" s="30" t="str">
        <f t="shared" si="156"/>
        <v>68,9745115848437+51,6909614785589i</v>
      </c>
      <c r="BJ118" s="68">
        <f t="shared" si="151"/>
        <v>38.7095600645086</v>
      </c>
      <c r="BK118" s="31">
        <f t="shared" si="157"/>
        <v>36.8486676845817</v>
      </c>
      <c r="BL118" s="32">
        <f t="shared" si="152"/>
        <v>23.8645230282183</v>
      </c>
      <c r="BM118" s="31">
        <f t="shared" si="153"/>
        <v>33.1645551255823</v>
      </c>
      <c r="BO118">
        <f t="shared" si="154"/>
        <v>0</v>
      </c>
      <c r="BP118">
        <f t="shared" si="155"/>
        <v>0</v>
      </c>
    </row>
    <row r="119" spans="14:68">
      <c r="N119" s="7">
        <v>1</v>
      </c>
      <c r="O119" s="18">
        <f>10^(2+(N119/100))</f>
        <v>102.329299228075</v>
      </c>
      <c r="P119" s="86" t="str">
        <f t="shared" si="105"/>
        <v>163,636363636364</v>
      </c>
      <c r="Q119" s="4" t="str">
        <f t="shared" si="106"/>
        <v>1+3,927864127267i</v>
      </c>
      <c r="R119" s="4">
        <f t="shared" si="118"/>
        <v>4.05316130967803</v>
      </c>
      <c r="S119" s="4">
        <f t="shared" si="119"/>
        <v>1.32150113837462</v>
      </c>
      <c r="T119" s="4" t="str">
        <f t="shared" si="107"/>
        <v>1+0,010081517926652i</v>
      </c>
      <c r="U119" s="4">
        <f t="shared" si="120"/>
        <v>1.00005081721066</v>
      </c>
      <c r="V119" s="4">
        <f t="shared" si="121"/>
        <v>0.0100811763957208</v>
      </c>
      <c r="W119" t="str">
        <f t="shared" si="108"/>
        <v>1-0,00964430924105737i</v>
      </c>
      <c r="X119" s="4">
        <f t="shared" si="122"/>
        <v>1.000046505269</v>
      </c>
      <c r="Y119" s="4">
        <f t="shared" si="123"/>
        <v>-0.00964401024332713</v>
      </c>
      <c r="Z119" t="str">
        <f t="shared" si="109"/>
        <v>0,999999914520118+0,00199774977136188i</v>
      </c>
      <c r="AA119" s="4">
        <f t="shared" si="124"/>
        <v>1.00000191002037</v>
      </c>
      <c r="AB119" s="4">
        <f t="shared" si="125"/>
        <v>0.00199774728445912</v>
      </c>
      <c r="AC119" s="67" t="str">
        <f t="shared" si="126"/>
        <v>9,90062562828017-39,1437043265973i</v>
      </c>
      <c r="AD119" s="68">
        <f t="shared" si="127"/>
        <v>32.1225473534437</v>
      </c>
      <c r="AE119" s="31">
        <f t="shared" si="128"/>
        <v>-75.8058525630545</v>
      </c>
      <c r="AF119" s="32" t="str">
        <f t="shared" si="129"/>
        <v>748,315388573934</v>
      </c>
      <c r="AG119" s="32" t="str">
        <f t="shared" si="110"/>
        <v>1+3,20048188147682i</v>
      </c>
      <c r="AH119" s="32">
        <f t="shared" si="130"/>
        <v>3.3530708721501</v>
      </c>
      <c r="AI119" s="32">
        <f t="shared" si="131"/>
        <v>1.26795432455658</v>
      </c>
      <c r="AJ119" s="32" t="str">
        <f t="shared" si="111"/>
        <v>1+0,010081517926652i</v>
      </c>
      <c r="AK119" s="32">
        <f t="shared" si="132"/>
        <v>1.00005081721066</v>
      </c>
      <c r="AL119" s="32">
        <f t="shared" si="133"/>
        <v>0.0100811763957208</v>
      </c>
      <c r="AM119" s="32" t="str">
        <f t="shared" si="112"/>
        <v>1-0,00171836671010164i</v>
      </c>
      <c r="AN119" s="32">
        <f t="shared" si="134"/>
        <v>1.00000147639099</v>
      </c>
      <c r="AO119" s="32">
        <f t="shared" si="135"/>
        <v>-0.00171836501878264</v>
      </c>
      <c r="AP119" s="30" t="str">
        <f t="shared" si="136"/>
        <v>68,340486333704-212,464213530018i</v>
      </c>
      <c r="AQ119" s="32">
        <f t="shared" si="137"/>
        <v>46.9732930709316</v>
      </c>
      <c r="AR119" s="31">
        <f t="shared" si="138"/>
        <v>-72.1692776156907</v>
      </c>
      <c r="AS119" t="str">
        <f t="shared" si="113"/>
        <v>-0,0000504684572142411</v>
      </c>
      <c r="AT119" t="str">
        <f t="shared" si="114"/>
        <v>0,000144471752431039i</v>
      </c>
      <c r="AU119">
        <f t="shared" si="139"/>
        <v>0.000144471752431039</v>
      </c>
      <c r="AV119">
        <f t="shared" si="140"/>
        <v>1.5707963267949</v>
      </c>
      <c r="AW119" t="str">
        <f t="shared" si="115"/>
        <v>1+0,00739668873702219i</v>
      </c>
      <c r="AX119">
        <f t="shared" si="141"/>
        <v>1.00002735512798</v>
      </c>
      <c r="AY119">
        <f t="shared" si="142"/>
        <v>0.00739655384802708</v>
      </c>
      <c r="AZ119" t="str">
        <f t="shared" si="116"/>
        <v>1+0,353624672172103i</v>
      </c>
      <c r="BA119">
        <f t="shared" si="143"/>
        <v>1.06068393443515</v>
      </c>
      <c r="BB119">
        <f t="shared" si="144"/>
        <v>0.339900269438073</v>
      </c>
      <c r="BC119" s="30" t="str">
        <f t="shared" si="145"/>
        <v>-0,120941539981884+0,35022553554162i</v>
      </c>
      <c r="BD119" s="32">
        <f t="shared" si="146"/>
        <v>-8.62377602091881</v>
      </c>
      <c r="BE119" s="31">
        <f t="shared" si="147"/>
        <v>109.051059575728</v>
      </c>
      <c r="BF119" s="30" t="str">
        <f t="shared" si="148"/>
        <v>12,5117279005971+8,20155179471572i</v>
      </c>
      <c r="BG119" s="68">
        <f t="shared" si="149"/>
        <v>23.4987713325249</v>
      </c>
      <c r="BH119" s="31">
        <f t="shared" si="150"/>
        <v>33.2452070126734</v>
      </c>
      <c r="BI119" s="30" t="str">
        <f t="shared" si="156"/>
        <v>66,1451893066706+49,6303326007565i</v>
      </c>
      <c r="BJ119" s="68">
        <f t="shared" si="151"/>
        <v>38.3495170500128</v>
      </c>
      <c r="BK119" s="31">
        <f t="shared" si="157"/>
        <v>36.8817819600373</v>
      </c>
      <c r="BL119" s="32">
        <f t="shared" si="152"/>
        <v>23.4987713325249</v>
      </c>
      <c r="BM119" s="31">
        <f t="shared" si="153"/>
        <v>33.2452070126734</v>
      </c>
      <c r="BO119">
        <f t="shared" si="154"/>
        <v>0</v>
      </c>
      <c r="BP119">
        <f t="shared" si="155"/>
        <v>0</v>
      </c>
    </row>
    <row r="120" spans="14:68">
      <c r="N120" s="7">
        <v>2</v>
      </c>
      <c r="O120" s="18">
        <f t="shared" ref="O120:O183" si="158">10^(2+(N120/100))</f>
        <v>104.71285480509</v>
      </c>
      <c r="P120" s="86" t="str">
        <f t="shared" si="105"/>
        <v>163,636363636364</v>
      </c>
      <c r="Q120" s="4" t="str">
        <f t="shared" si="106"/>
        <v>1+4,0193558360633i</v>
      </c>
      <c r="R120" s="4">
        <f t="shared" si="118"/>
        <v>4.14188620520846</v>
      </c>
      <c r="S120" s="4">
        <f t="shared" si="119"/>
        <v>1.32695107983889</v>
      </c>
      <c r="T120" s="4" t="str">
        <f t="shared" si="107"/>
        <v>1+0,0103163466458958i</v>
      </c>
      <c r="U120" s="4">
        <f t="shared" si="120"/>
        <v>1.0000532120883</v>
      </c>
      <c r="V120" s="4">
        <f t="shared" si="121"/>
        <v>0.0103159806899613</v>
      </c>
      <c r="W120" t="str">
        <f t="shared" si="108"/>
        <v>1-0,00986895406176258i</v>
      </c>
      <c r="X120" s="4">
        <f t="shared" si="122"/>
        <v>1.00004869694144</v>
      </c>
      <c r="Y120" s="4">
        <f t="shared" si="123"/>
        <v>-0.00986863368076498</v>
      </c>
      <c r="Z120" t="str">
        <f t="shared" si="109"/>
        <v>0,999999910491576+0,0020442833413651i</v>
      </c>
      <c r="AA120" s="4">
        <f t="shared" si="124"/>
        <v>1.00000200003677</v>
      </c>
      <c r="AB120" s="4">
        <f t="shared" si="125"/>
        <v>0.00204428067660106</v>
      </c>
      <c r="AC120" s="67" t="str">
        <f t="shared" si="126"/>
        <v>9,47828493388178-38,3579422805772i</v>
      </c>
      <c r="AD120" s="68">
        <f t="shared" si="127"/>
        <v>31.9345009177948</v>
      </c>
      <c r="AE120" s="31">
        <f t="shared" si="128"/>
        <v>-76.1201940544001</v>
      </c>
      <c r="AF120" s="32" t="str">
        <f t="shared" si="129"/>
        <v>748,315388573934</v>
      </c>
      <c r="AG120" s="32" t="str">
        <f t="shared" si="110"/>
        <v>1+3,27503068123676i</v>
      </c>
      <c r="AH120" s="32">
        <f t="shared" si="130"/>
        <v>3.42429933899508</v>
      </c>
      <c r="AI120" s="32">
        <f t="shared" si="131"/>
        <v>1.27444708309499</v>
      </c>
      <c r="AJ120" s="32" t="str">
        <f t="shared" si="111"/>
        <v>1+0,0103163466458958i</v>
      </c>
      <c r="AK120" s="32">
        <f t="shared" si="132"/>
        <v>1.0000532120883</v>
      </c>
      <c r="AL120" s="32">
        <f t="shared" si="133"/>
        <v>0.0103159806899613</v>
      </c>
      <c r="AM120" s="32" t="str">
        <f t="shared" si="112"/>
        <v>1-0,00175839261261555i</v>
      </c>
      <c r="AN120" s="32">
        <f t="shared" si="134"/>
        <v>1.0000015459711</v>
      </c>
      <c r="AO120" s="32">
        <f t="shared" si="135"/>
        <v>-0.00175839080033474</v>
      </c>
      <c r="AP120" s="30" t="str">
        <f t="shared" si="136"/>
        <v>65,6075249240223-208,462608348367i</v>
      </c>
      <c r="AQ120" s="32">
        <f t="shared" si="137"/>
        <v>46.7907346954497</v>
      </c>
      <c r="AR120" s="31">
        <f t="shared" si="138"/>
        <v>-72.5301252906222</v>
      </c>
      <c r="AS120" t="str">
        <f t="shared" si="113"/>
        <v>-0,0000504684572142411</v>
      </c>
      <c r="AT120" t="str">
        <f t="shared" si="114"/>
        <v>0,000147836931845203i</v>
      </c>
      <c r="AU120">
        <f t="shared" si="139"/>
        <v>0.000147836931845203</v>
      </c>
      <c r="AV120">
        <f t="shared" si="140"/>
        <v>1.5707963267949</v>
      </c>
      <c r="AW120" t="str">
        <f t="shared" si="115"/>
        <v>1+0,00756897975067682i</v>
      </c>
      <c r="AX120">
        <f t="shared" si="141"/>
        <v>1.00002864431698</v>
      </c>
      <c r="AY120">
        <f t="shared" si="142"/>
        <v>0.00756883521473809</v>
      </c>
      <c r="AZ120" t="str">
        <f t="shared" si="116"/>
        <v>1+0,361861648931294i</v>
      </c>
      <c r="BA120">
        <f t="shared" si="143"/>
        <v>1.06345843969911</v>
      </c>
      <c r="BB120">
        <f t="shared" si="144"/>
        <v>0.347202662189574</v>
      </c>
      <c r="BC120" s="30" t="str">
        <f t="shared" si="145"/>
        <v>-0,120941228158011+0,342294626670071i</v>
      </c>
      <c r="BD120" s="32">
        <f t="shared" si="146"/>
        <v>-8.80109659222966</v>
      </c>
      <c r="BE120" s="31">
        <f t="shared" si="147"/>
        <v>109.459584865535</v>
      </c>
      <c r="BF120" s="30" t="str">
        <f t="shared" si="148"/>
        <v>11,9834021120271+7,88342265194273i</v>
      </c>
      <c r="BG120" s="68">
        <f t="shared" si="149"/>
        <v>23.1334043255652</v>
      </c>
      <c r="BH120" s="31">
        <f t="shared" si="150"/>
        <v>33.3393908111344</v>
      </c>
      <c r="BI120" s="30" t="str">
        <f t="shared" si="156"/>
        <v>63,4209760585549+47,6688271292895i</v>
      </c>
      <c r="BJ120" s="68">
        <f t="shared" si="151"/>
        <v>37.98963810322</v>
      </c>
      <c r="BK120" s="31">
        <f t="shared" si="157"/>
        <v>36.9294595749124</v>
      </c>
      <c r="BL120" s="32">
        <f t="shared" si="152"/>
        <v>23.1334043255652</v>
      </c>
      <c r="BM120" s="31">
        <f t="shared" si="153"/>
        <v>33.3393908111344</v>
      </c>
      <c r="BO120">
        <f t="shared" si="154"/>
        <v>0</v>
      </c>
      <c r="BP120">
        <f t="shared" si="155"/>
        <v>0</v>
      </c>
    </row>
    <row r="121" spans="14:68">
      <c r="N121" s="7">
        <v>3</v>
      </c>
      <c r="O121" s="18">
        <f t="shared" si="158"/>
        <v>107.151930523761</v>
      </c>
      <c r="P121" s="86" t="str">
        <f t="shared" si="105"/>
        <v>163,636363636364</v>
      </c>
      <c r="Q121" s="4" t="str">
        <f t="shared" si="106"/>
        <v>1+4,11297866052634i</v>
      </c>
      <c r="R121" s="4">
        <f t="shared" si="118"/>
        <v>4.23279971909197</v>
      </c>
      <c r="S121" s="4">
        <f t="shared" si="119"/>
        <v>1.33229128473546</v>
      </c>
      <c r="T121" s="4" t="str">
        <f t="shared" si="107"/>
        <v>1+0,0105566452286843i</v>
      </c>
      <c r="U121" s="4">
        <f t="shared" si="120"/>
        <v>1.00005571982689</v>
      </c>
      <c r="V121" s="4">
        <f t="shared" si="121"/>
        <v>0.0105562531010156</v>
      </c>
      <c r="W121" t="str">
        <f t="shared" si="108"/>
        <v>1-0,0100988315325424i</v>
      </c>
      <c r="X121" s="4">
        <f t="shared" si="122"/>
        <v>1.00005099189907</v>
      </c>
      <c r="Y121" s="4">
        <f t="shared" si="123"/>
        <v>-0.0100984882390638</v>
      </c>
      <c r="Z121" t="str">
        <f t="shared" si="109"/>
        <v>0,999999906273174+0,0020919008174552i</v>
      </c>
      <c r="AA121" s="4">
        <f t="shared" si="124"/>
        <v>1.0000020942955</v>
      </c>
      <c r="AB121" s="4">
        <f t="shared" si="125"/>
        <v>0.00209189796210942</v>
      </c>
      <c r="AC121" s="67" t="str">
        <f t="shared" si="126"/>
        <v>9,07278078557998-37,5835852176855i</v>
      </c>
      <c r="AD121" s="68">
        <f t="shared" si="127"/>
        <v>31.7459506755564</v>
      </c>
      <c r="AE121" s="31">
        <f t="shared" si="128"/>
        <v>-76.4282966272056</v>
      </c>
      <c r="AF121" s="32" t="str">
        <f t="shared" si="129"/>
        <v>748,315388573934</v>
      </c>
      <c r="AG121" s="32" t="str">
        <f t="shared" si="110"/>
        <v>1+3,35131594561405i</v>
      </c>
      <c r="AH121" s="32">
        <f t="shared" si="130"/>
        <v>3.49733020564644</v>
      </c>
      <c r="AI121" s="32">
        <f t="shared" si="131"/>
        <v>1.28081702148505</v>
      </c>
      <c r="AJ121" s="32" t="str">
        <f t="shared" si="111"/>
        <v>1+0,0105566452286843i</v>
      </c>
      <c r="AK121" s="32">
        <f t="shared" si="132"/>
        <v>1.00005571982689</v>
      </c>
      <c r="AL121" s="32">
        <f t="shared" si="133"/>
        <v>0.0105562531010156</v>
      </c>
      <c r="AM121" s="32" t="str">
        <f t="shared" si="112"/>
        <v>1-0,00179935083816775i</v>
      </c>
      <c r="AN121" s="32">
        <f t="shared" si="134"/>
        <v>1.00000161883041</v>
      </c>
      <c r="AO121" s="32">
        <f t="shared" si="135"/>
        <v>-0.00179934889627405</v>
      </c>
      <c r="AP121" s="30" t="str">
        <f t="shared" si="136"/>
        <v>62,9769802137649-204,502539842315i</v>
      </c>
      <c r="AQ121" s="32">
        <f t="shared" si="137"/>
        <v>46.6074587730726</v>
      </c>
      <c r="AR121" s="31">
        <f t="shared" si="138"/>
        <v>-72.8836760070781</v>
      </c>
      <c r="AS121" t="str">
        <f t="shared" si="113"/>
        <v>-0,0000504684572142411</v>
      </c>
      <c r="AT121" t="str">
        <f t="shared" si="114"/>
        <v>0,000151280496357484i</v>
      </c>
      <c r="AU121">
        <f t="shared" si="139"/>
        <v>0.000151280496357484</v>
      </c>
      <c r="AV121">
        <f t="shared" si="140"/>
        <v>1.5707963267949</v>
      </c>
      <c r="AW121" t="str">
        <f t="shared" si="115"/>
        <v>1+0,00774528393758255i</v>
      </c>
      <c r="AX121">
        <f t="shared" si="141"/>
        <v>1.00002999426181</v>
      </c>
      <c r="AY121">
        <f t="shared" si="142"/>
        <v>0.00774512906478478</v>
      </c>
      <c r="AZ121" t="str">
        <f t="shared" si="116"/>
        <v>1+0,370290489526552i</v>
      </c>
      <c r="BA121">
        <f t="shared" si="143"/>
        <v>1.06635596619225</v>
      </c>
      <c r="BB121">
        <f t="shared" si="144"/>
        <v>0.354635405147104</v>
      </c>
      <c r="BC121" s="30" t="str">
        <f t="shared" si="145"/>
        <v>-0,120940901640055+0,334545206717877i</v>
      </c>
      <c r="BD121" s="32">
        <f t="shared" si="146"/>
        <v>-8.9774746985782</v>
      </c>
      <c r="BE121" s="31">
        <f t="shared" si="147"/>
        <v>109.875348773645</v>
      </c>
      <c r="BF121" s="30" t="str">
        <f t="shared" si="148"/>
        <v>11,4761379972589+7,58064800651056i</v>
      </c>
      <c r="BG121" s="68">
        <f t="shared" si="149"/>
        <v>22.7684759769782</v>
      </c>
      <c r="BH121" s="31">
        <f t="shared" si="150"/>
        <v>33.4470521464394</v>
      </c>
      <c r="BI121" s="30" t="str">
        <f t="shared" si="156"/>
        <v>60,7988516962575+45,8013684202925i</v>
      </c>
      <c r="BJ121" s="68">
        <f t="shared" si="151"/>
        <v>37.6299840744944</v>
      </c>
      <c r="BK121" s="31">
        <f t="shared" si="157"/>
        <v>36.9916727665669</v>
      </c>
      <c r="BL121" s="32">
        <f t="shared" si="152"/>
        <v>22.7684759769782</v>
      </c>
      <c r="BM121" s="31">
        <f t="shared" si="153"/>
        <v>33.4470521464394</v>
      </c>
      <c r="BO121">
        <f t="shared" si="154"/>
        <v>0</v>
      </c>
      <c r="BP121">
        <f t="shared" si="155"/>
        <v>0</v>
      </c>
    </row>
    <row r="122" spans="14:68">
      <c r="N122" s="7">
        <v>4</v>
      </c>
      <c r="O122" s="18">
        <f t="shared" si="158"/>
        <v>109.647819614319</v>
      </c>
      <c r="P122" s="86" t="str">
        <f t="shared" si="105"/>
        <v>163,636363636364</v>
      </c>
      <c r="Q122" s="4" t="str">
        <f t="shared" si="106"/>
        <v>1+4,20878224071689i</v>
      </c>
      <c r="R122" s="4">
        <f t="shared" si="118"/>
        <v>4.32595052558093</v>
      </c>
      <c r="S122" s="4">
        <f t="shared" si="119"/>
        <v>1.33752336565891</v>
      </c>
      <c r="T122" s="4" t="str">
        <f t="shared" si="107"/>
        <v>1+0,0108025410845067i</v>
      </c>
      <c r="U122" s="4">
        <f t="shared" si="120"/>
        <v>1.00005834574483</v>
      </c>
      <c r="V122" s="4">
        <f t="shared" si="121"/>
        <v>0.0108021209134636</v>
      </c>
      <c r="W122" t="str">
        <f t="shared" si="108"/>
        <v>1-0,0103340635374745i</v>
      </c>
      <c r="X122" s="4">
        <f t="shared" si="122"/>
        <v>1.00005339500908</v>
      </c>
      <c r="Y122" s="4">
        <f t="shared" si="123"/>
        <v>-0.0103336956929456</v>
      </c>
      <c r="Z122" t="str">
        <f t="shared" si="109"/>
        <v>0,999999901855965+0,00214062744704829i</v>
      </c>
      <c r="AA122" s="4">
        <f t="shared" si="124"/>
        <v>1.0000021929965</v>
      </c>
      <c r="AB122" s="4">
        <f t="shared" si="125"/>
        <v>0.00214062438749052</v>
      </c>
      <c r="AC122" s="67" t="str">
        <f t="shared" si="126"/>
        <v>8,68353083304572-36,8207527968848i</v>
      </c>
      <c r="AD122" s="68">
        <f t="shared" si="127"/>
        <v>31.5569169264128</v>
      </c>
      <c r="AE122" s="31">
        <f t="shared" si="128"/>
        <v>-76.7302538071614</v>
      </c>
      <c r="AF122" s="32" t="str">
        <f t="shared" si="129"/>
        <v>748,315388573934</v>
      </c>
      <c r="AG122" s="32" t="str">
        <f t="shared" si="110"/>
        <v>1+3,42937812206562i</v>
      </c>
      <c r="AH122" s="32">
        <f t="shared" si="130"/>
        <v>3.57220300432413</v>
      </c>
      <c r="AI122" s="32">
        <f t="shared" si="131"/>
        <v>1.28706544864546</v>
      </c>
      <c r="AJ122" s="32" t="str">
        <f t="shared" si="111"/>
        <v>1+0,0108025410845067i</v>
      </c>
      <c r="AK122" s="32">
        <f t="shared" si="132"/>
        <v>1.00005834574483</v>
      </c>
      <c r="AL122" s="32">
        <f t="shared" si="133"/>
        <v>0.0108021209134636</v>
      </c>
      <c r="AM122" s="32" t="str">
        <f t="shared" si="112"/>
        <v>1-0,00184126310335156i</v>
      </c>
      <c r="AN122" s="32">
        <f t="shared" si="134"/>
        <v>1.00000169512347</v>
      </c>
      <c r="AO122" s="32">
        <f t="shared" si="135"/>
        <v>-0.00184126102257516</v>
      </c>
      <c r="AP122" s="30" t="str">
        <f t="shared" si="136"/>
        <v>60,4458361232903-200,585765756588i</v>
      </c>
      <c r="AQ122" s="32">
        <f t="shared" si="137"/>
        <v>46.4234923911968</v>
      </c>
      <c r="AR122" s="31">
        <f t="shared" si="138"/>
        <v>-73.2299987119404</v>
      </c>
      <c r="AS122" t="str">
        <f t="shared" si="113"/>
        <v>-0,0000504684572142411</v>
      </c>
      <c r="AT122" t="str">
        <f t="shared" si="114"/>
        <v>0,000154804271791368i</v>
      </c>
      <c r="AU122">
        <f t="shared" si="139"/>
        <v>0.000154804271791368</v>
      </c>
      <c r="AV122">
        <f t="shared" si="140"/>
        <v>1.5707963267949</v>
      </c>
      <c r="AW122" t="str">
        <f t="shared" si="115"/>
        <v>1+0,00792569477655292i</v>
      </c>
      <c r="AX122">
        <f t="shared" si="141"/>
        <v>1.00003140782562</v>
      </c>
      <c r="AY122">
        <f t="shared" si="142"/>
        <v>0.00792552882764174</v>
      </c>
      <c r="AZ122" t="str">
        <f t="shared" si="116"/>
        <v>1+0,378915663040731i</v>
      </c>
      <c r="BA122">
        <f t="shared" si="143"/>
        <v>1.06938163426234</v>
      </c>
      <c r="BB122">
        <f t="shared" si="144"/>
        <v>0.362199153255307</v>
      </c>
      <c r="BC122" s="30" t="str">
        <f t="shared" si="145"/>
        <v>-0,120940559735671+0,326973166824093i</v>
      </c>
      <c r="BD122" s="32">
        <f t="shared" si="146"/>
        <v>-9.15287661540502</v>
      </c>
      <c r="BE122" s="31">
        <f t="shared" si="147"/>
        <v>110.298383472508</v>
      </c>
      <c r="BF122" s="30" t="str">
        <f t="shared" si="148"/>
        <v>10,989207067414+7,29240402883963i</v>
      </c>
      <c r="BG122" s="68">
        <f t="shared" si="149"/>
        <v>22.4040403110078</v>
      </c>
      <c r="BH122" s="31">
        <f t="shared" si="150"/>
        <v>33.5681296653466</v>
      </c>
      <c r="BI122" s="30" t="str">
        <f t="shared" si="156"/>
        <v>58,2758097948259+44,0231212441723i</v>
      </c>
      <c r="BJ122" s="68">
        <f t="shared" si="151"/>
        <v>37.2706157757918</v>
      </c>
      <c r="BK122" s="31">
        <f t="shared" si="157"/>
        <v>37.0683847605676</v>
      </c>
      <c r="BL122" s="32">
        <f t="shared" si="152"/>
        <v>22.4040403110078</v>
      </c>
      <c r="BM122" s="31">
        <f t="shared" si="153"/>
        <v>33.5681296653466</v>
      </c>
      <c r="BO122">
        <f t="shared" si="154"/>
        <v>0</v>
      </c>
      <c r="BP122">
        <f t="shared" si="155"/>
        <v>0</v>
      </c>
    </row>
    <row r="123" spans="14:68">
      <c r="N123" s="7">
        <v>5</v>
      </c>
      <c r="O123" s="18">
        <f t="shared" si="158"/>
        <v>112.201845430196</v>
      </c>
      <c r="P123" s="86" t="str">
        <f t="shared" si="105"/>
        <v>163,636363636364</v>
      </c>
      <c r="Q123" s="4" t="str">
        <f t="shared" si="106"/>
        <v>1+4,30681737296126i</v>
      </c>
      <c r="R123" s="4">
        <f t="shared" si="118"/>
        <v>4.42138845658702</v>
      </c>
      <c r="S123" s="4">
        <f t="shared" si="119"/>
        <v>1.34264895041454</v>
      </c>
      <c r="T123" s="4" t="str">
        <f t="shared" si="107"/>
        <v>1+0,0110541645906006i</v>
      </c>
      <c r="U123" s="4">
        <f t="shared" si="120"/>
        <v>1.00006109541107</v>
      </c>
      <c r="V123" s="4">
        <f t="shared" si="121"/>
        <v>0.0110537143707019</v>
      </c>
      <c r="W123" t="str">
        <f t="shared" si="108"/>
        <v>1-0,0105747747996817i</v>
      </c>
      <c r="X123" s="4">
        <f t="shared" si="122"/>
        <v>1.00005591136799</v>
      </c>
      <c r="Y123" s="4">
        <f t="shared" si="123"/>
        <v>-0.0105743806483578</v>
      </c>
      <c r="Z123" t="str">
        <f t="shared" si="109"/>
        <v>0,999999897230579+0,00219048906564834i</v>
      </c>
      <c r="AA123" s="4">
        <f t="shared" si="124"/>
        <v>1.00000229634912</v>
      </c>
      <c r="AB123" s="4">
        <f t="shared" si="125"/>
        <v>0.00219048578727353</v>
      </c>
      <c r="AC123" s="67" t="str">
        <f t="shared" si="126"/>
        <v>8,30996538299832-36,0695419656487i</v>
      </c>
      <c r="AD123" s="68">
        <f t="shared" si="127"/>
        <v>31.3674192703379</v>
      </c>
      <c r="AE123" s="31">
        <f t="shared" si="128"/>
        <v>-77.0261600178485</v>
      </c>
      <c r="AF123" s="32" t="str">
        <f t="shared" si="129"/>
        <v>748,315388573934</v>
      </c>
      <c r="AG123" s="32" t="str">
        <f t="shared" si="110"/>
        <v>1+3,50925860019065i</v>
      </c>
      <c r="AH123" s="32">
        <f t="shared" si="130"/>
        <v>3.64895819693951</v>
      </c>
      <c r="AI123" s="32">
        <f t="shared" si="131"/>
        <v>1.29319372518421</v>
      </c>
      <c r="AJ123" s="32" t="str">
        <f t="shared" si="111"/>
        <v>1+0,0110541645906006i</v>
      </c>
      <c r="AK123" s="32">
        <f t="shared" si="132"/>
        <v>1.00006109541107</v>
      </c>
      <c r="AL123" s="32">
        <f t="shared" si="133"/>
        <v>0.0110537143707019</v>
      </c>
      <c r="AM123" s="32" t="str">
        <f t="shared" si="112"/>
        <v>1-0,00188415163060475i</v>
      </c>
      <c r="AN123" s="32">
        <f t="shared" si="134"/>
        <v>1.00000177501211</v>
      </c>
      <c r="AO123" s="32">
        <f t="shared" si="135"/>
        <v>-0.00188414940101288</v>
      </c>
      <c r="AP123" s="30" t="str">
        <f t="shared" si="136"/>
        <v>58,0110973583121-196,713880499767i</v>
      </c>
      <c r="AQ123" s="32">
        <f t="shared" si="137"/>
        <v>46.2388618338818</v>
      </c>
      <c r="AR123" s="31">
        <f t="shared" si="138"/>
        <v>-73.5691651731216</v>
      </c>
      <c r="AS123" t="str">
        <f t="shared" si="113"/>
        <v>-0,0000504684572142411</v>
      </c>
      <c r="AT123" t="str">
        <f t="shared" si="114"/>
        <v>0,000158410126499231i</v>
      </c>
      <c r="AU123">
        <f t="shared" si="139"/>
        <v>0.000158410126499231</v>
      </c>
      <c r="AV123">
        <f t="shared" si="140"/>
        <v>1.5707963267949</v>
      </c>
      <c r="AW123" t="str">
        <f t="shared" si="115"/>
        <v>1+0,00811030792380272i</v>
      </c>
      <c r="AX123">
        <f t="shared" si="141"/>
        <v>1.0000328880065</v>
      </c>
      <c r="AY123">
        <f t="shared" si="142"/>
        <v>0.00811013010665655</v>
      </c>
      <c r="AZ123" t="str">
        <f t="shared" si="116"/>
        <v>1+0,387741742654993i</v>
      </c>
      <c r="BA123">
        <f t="shared" si="143"/>
        <v>1.07254074934108</v>
      </c>
      <c r="BB123">
        <f t="shared" si="144"/>
        <v>0.369894454122089</v>
      </c>
      <c r="BC123" s="30" t="str">
        <f t="shared" si="145"/>
        <v>-0,120940201719902+0,319574492175892i</v>
      </c>
      <c r="BD123" s="32">
        <f t="shared" si="146"/>
        <v>-9.32726786649455</v>
      </c>
      <c r="BE123" s="31">
        <f t="shared" si="147"/>
        <v>110.728714860078</v>
      </c>
      <c r="BF123" s="30" t="str">
        <f t="shared" si="148"/>
        <v>10,521896666984+7,01791064854095i</v>
      </c>
      <c r="BG123" s="68">
        <f t="shared" si="149"/>
        <v>22.0401514038434</v>
      </c>
      <c r="BH123" s="31">
        <f t="shared" si="150"/>
        <v>33.7025548422291</v>
      </c>
      <c r="BI123" s="30" t="str">
        <f t="shared" si="156"/>
        <v>55,848864648155+42,3294833675953i</v>
      </c>
      <c r="BJ123" s="68">
        <f t="shared" si="151"/>
        <v>36.9115939673873</v>
      </c>
      <c r="BK123" s="31">
        <f t="shared" si="157"/>
        <v>37.159549686956</v>
      </c>
      <c r="BL123" s="32">
        <f t="shared" si="152"/>
        <v>22.0401514038434</v>
      </c>
      <c r="BM123" s="31">
        <f t="shared" si="153"/>
        <v>33.7025548422291</v>
      </c>
      <c r="BO123">
        <f t="shared" si="154"/>
        <v>0</v>
      </c>
      <c r="BP123">
        <f t="shared" si="155"/>
        <v>0</v>
      </c>
    </row>
    <row r="124" spans="14:68">
      <c r="N124" s="7">
        <v>6</v>
      </c>
      <c r="O124" s="18">
        <f t="shared" si="158"/>
        <v>114.815362149688</v>
      </c>
      <c r="P124" s="86" t="str">
        <f t="shared" si="105"/>
        <v>163,636363636364</v>
      </c>
      <c r="Q124" s="4" t="str">
        <f t="shared" si="106"/>
        <v>1+4,40713603678426i</v>
      </c>
      <c r="R124" s="4">
        <f t="shared" si="118"/>
        <v>4.51916452972477</v>
      </c>
      <c r="S124" s="4">
        <f t="shared" si="119"/>
        <v>1.34766967891869</v>
      </c>
      <c r="T124" s="4" t="str">
        <f t="shared" si="107"/>
        <v>1+0,0113116491610796i</v>
      </c>
      <c r="U124" s="4">
        <f t="shared" si="120"/>
        <v>1.00006397465699</v>
      </c>
      <c r="V124" s="4">
        <f t="shared" si="121"/>
        <v>0.0113111667434332</v>
      </c>
      <c r="W124" t="str">
        <f t="shared" si="108"/>
        <v>1-0,0108210929474614i</v>
      </c>
      <c r="X124" s="4">
        <f t="shared" si="122"/>
        <v>1.00005854631245</v>
      </c>
      <c r="Y124" s="4">
        <f t="shared" si="123"/>
        <v>-0.010820670608044</v>
      </c>
      <c r="Z124" t="str">
        <f t="shared" si="109"/>
        <v>0,999999892387205+0,00224151211054557i</v>
      </c>
      <c r="AA124" s="4">
        <f t="shared" si="124"/>
        <v>1.00000240457259</v>
      </c>
      <c r="AB124" s="4">
        <f t="shared" si="125"/>
        <v>0.00224150859770413</v>
      </c>
      <c r="AC124" s="67" t="str">
        <f t="shared" si="126"/>
        <v>7,95152780147065-35,3300283047912i</v>
      </c>
      <c r="AD124" s="68">
        <f t="shared" si="127"/>
        <v>31.177476623505</v>
      </c>
      <c r="AE124" s="31">
        <f t="shared" si="128"/>
        <v>-77.3161104037572</v>
      </c>
      <c r="AF124" s="32" t="str">
        <f t="shared" si="129"/>
        <v>748,315388573934</v>
      </c>
      <c r="AG124" s="32" t="str">
        <f t="shared" si="110"/>
        <v>1+3,59099973367606i</v>
      </c>
      <c r="AH124" s="32">
        <f t="shared" si="130"/>
        <v>3.72763719898564</v>
      </c>
      <c r="AI124" s="32">
        <f t="shared" si="131"/>
        <v>1.29920325846553</v>
      </c>
      <c r="AJ124" s="32" t="str">
        <f t="shared" si="111"/>
        <v>1+0,0113116491610796i</v>
      </c>
      <c r="AK124" s="32">
        <f t="shared" si="132"/>
        <v>1.00006397465699</v>
      </c>
      <c r="AL124" s="32">
        <f t="shared" si="133"/>
        <v>0.0113111667434332</v>
      </c>
      <c r="AM124" s="32" t="str">
        <f t="shared" si="112"/>
        <v>1-0,0019280391599922i</v>
      </c>
      <c r="AN124" s="32">
        <f t="shared" si="134"/>
        <v>1.00000185866577</v>
      </c>
      <c r="AO124" s="32">
        <f t="shared" si="135"/>
        <v>-0.00192803677094171</v>
      </c>
      <c r="AP124" s="30" t="str">
        <f t="shared" si="136"/>
        <v>55,6697957727886-192,888322029695i</v>
      </c>
      <c r="AQ124" s="32">
        <f t="shared" si="137"/>
        <v>46.0535925883913</v>
      </c>
      <c r="AR124" s="31">
        <f t="shared" si="138"/>
        <v>-73.9012496936728</v>
      </c>
      <c r="AS124" t="str">
        <f t="shared" si="113"/>
        <v>-0,0000504684572142411</v>
      </c>
      <c r="AT124" t="str">
        <f t="shared" si="114"/>
        <v>0,000162099972352971i</v>
      </c>
      <c r="AU124">
        <f t="shared" si="139"/>
        <v>0.000162099972352971</v>
      </c>
      <c r="AV124">
        <f t="shared" si="140"/>
        <v>1.5707963267949</v>
      </c>
      <c r="AW124" t="str">
        <f t="shared" si="115"/>
        <v>1+0,00829922126366639i</v>
      </c>
      <c r="AX124">
        <f t="shared" si="141"/>
        <v>1.00003443794381</v>
      </c>
      <c r="AY124">
        <f t="shared" si="142"/>
        <v>0.00829903072951584</v>
      </c>
      <c r="AZ124" t="str">
        <f t="shared" si="116"/>
        <v>1+0,396773408073582i</v>
      </c>
      <c r="BA124">
        <f t="shared" si="143"/>
        <v>1.07583880639914</v>
      </c>
      <c r="BB124">
        <f t="shared" si="144"/>
        <v>0.3777217413021</v>
      </c>
      <c r="BC124" s="30" t="str">
        <f t="shared" si="145"/>
        <v>-0,120939826833642+0,312345259879768i</v>
      </c>
      <c r="BD124" s="32">
        <f t="shared" si="146"/>
        <v>-9.50061324564847</v>
      </c>
      <c r="BE124" s="31">
        <f t="shared" si="147"/>
        <v>111.166362172092</v>
      </c>
      <c r="BF124" s="30" t="str">
        <f t="shared" si="148"/>
        <v>10,0735104770468+6,75642952280067i</v>
      </c>
      <c r="BG124" s="68">
        <f t="shared" si="149"/>
        <v>21.6768633778566</v>
      </c>
      <c r="BH124" s="31">
        <f t="shared" si="150"/>
        <v>33.8502517683349</v>
      </c>
      <c r="BI124" s="30" t="str">
        <f t="shared" si="156"/>
        <v>53,5150576115122+40,7160770926084i</v>
      </c>
      <c r="BJ124" s="68">
        <f t="shared" si="151"/>
        <v>36.5529793427428</v>
      </c>
      <c r="BK124" s="31">
        <f t="shared" si="157"/>
        <v>37.2651124784193</v>
      </c>
      <c r="BL124" s="32">
        <f t="shared" si="152"/>
        <v>21.6768633778566</v>
      </c>
      <c r="BM124" s="31">
        <f t="shared" si="153"/>
        <v>33.8502517683349</v>
      </c>
      <c r="BO124">
        <f t="shared" si="154"/>
        <v>0</v>
      </c>
      <c r="BP124">
        <f t="shared" si="155"/>
        <v>0</v>
      </c>
    </row>
    <row r="125" spans="14:68">
      <c r="N125" s="7">
        <v>7</v>
      </c>
      <c r="O125" s="18">
        <f t="shared" si="158"/>
        <v>117.489755493953</v>
      </c>
      <c r="P125" s="86" t="str">
        <f t="shared" si="105"/>
        <v>163,636363636364</v>
      </c>
      <c r="Q125" s="4" t="str">
        <f t="shared" si="106"/>
        <v>1+4,50979142246933i</v>
      </c>
      <c r="R125" s="4">
        <f t="shared" si="118"/>
        <v>4.61933097690325</v>
      </c>
      <c r="S125" s="4">
        <f t="shared" si="119"/>
        <v>1.35258720028537</v>
      </c>
      <c r="T125" s="4" t="str">
        <f t="shared" si="107"/>
        <v>1+0,0115751313176713i</v>
      </c>
      <c r="U125" s="4">
        <f t="shared" si="120"/>
        <v>1.00006698958871</v>
      </c>
      <c r="V125" s="4">
        <f t="shared" si="121"/>
        <v>0.0115746143997201</v>
      </c>
      <c r="W125" t="str">
        <f t="shared" si="108"/>
        <v>1-0,0110731485819559i</v>
      </c>
      <c r="X125" s="4">
        <f t="shared" si="122"/>
        <v>1.00006130543058</v>
      </c>
      <c r="Y125" s="4">
        <f t="shared" si="123"/>
        <v>-0.0110726960386151</v>
      </c>
      <c r="Z125" t="str">
        <f t="shared" si="109"/>
        <v>0,99999988731557+0,00229372363483373i</v>
      </c>
      <c r="AA125" s="4">
        <f t="shared" si="124"/>
        <v>1.00000251789646</v>
      </c>
      <c r="AB125" s="4">
        <f t="shared" si="125"/>
        <v>0.00229371987075682</v>
      </c>
      <c r="AC125" s="67" t="str">
        <f t="shared" si="126"/>
        <v>7,60767483745427-34,602267332826i</v>
      </c>
      <c r="AD125" s="68">
        <f t="shared" si="127"/>
        <v>30.9871072346491</v>
      </c>
      <c r="AE125" s="31">
        <f t="shared" si="128"/>
        <v>-77.600200663996</v>
      </c>
      <c r="AF125" s="32" t="str">
        <f t="shared" si="129"/>
        <v>748,315388573934</v>
      </c>
      <c r="AG125" s="32" t="str">
        <f t="shared" si="110"/>
        <v>1+3,67464486275278i</v>
      </c>
      <c r="AH125" s="32">
        <f t="shared" si="130"/>
        <v>3.80828240383449</v>
      </c>
      <c r="AI125" s="32">
        <f t="shared" si="131"/>
        <v>1.30509549788995</v>
      </c>
      <c r="AJ125" s="32" t="str">
        <f t="shared" si="111"/>
        <v>1+0,0115751313176713i</v>
      </c>
      <c r="AK125" s="32">
        <f t="shared" si="132"/>
        <v>1.00006698958871</v>
      </c>
      <c r="AL125" s="32">
        <f t="shared" si="133"/>
        <v>0.0115746143997201</v>
      </c>
      <c r="AM125" s="32" t="str">
        <f t="shared" si="112"/>
        <v>1-0,00197294896126289i</v>
      </c>
      <c r="AN125" s="32">
        <f t="shared" si="134"/>
        <v>1.00000194626191</v>
      </c>
      <c r="AO125" s="32">
        <f t="shared" si="135"/>
        <v>-0.00197294640134944</v>
      </c>
      <c r="AP125" s="30" t="str">
        <f t="shared" si="136"/>
        <v>53,4189961010559-189,110378774962i</v>
      </c>
      <c r="AQ125" s="32">
        <f t="shared" si="137"/>
        <v>45.867709353361</v>
      </c>
      <c r="AR125" s="31">
        <f t="shared" si="138"/>
        <v>-74.2263288380263</v>
      </c>
      <c r="AS125" t="str">
        <f t="shared" si="113"/>
        <v>-0,0000504684572142411</v>
      </c>
      <c r="AT125" t="str">
        <f t="shared" si="114"/>
        <v>0,0001658757657577i</v>
      </c>
      <c r="AU125">
        <f t="shared" si="139"/>
        <v>0.0001658757657577</v>
      </c>
      <c r="AV125">
        <f t="shared" si="140"/>
        <v>1.5707963267949</v>
      </c>
      <c r="AW125" t="str">
        <f t="shared" si="115"/>
        <v>1+0,00849253496049727i</v>
      </c>
      <c r="AX125">
        <f t="shared" si="141"/>
        <v>1.00003606092483</v>
      </c>
      <c r="AY125">
        <f t="shared" si="142"/>
        <v>0.00849233079987425</v>
      </c>
      <c r="AZ125" t="str">
        <f t="shared" si="116"/>
        <v>1+0,40601544800505i</v>
      </c>
      <c r="BA125">
        <f t="shared" si="143"/>
        <v>1.0792814943372</v>
      </c>
      <c r="BB125">
        <f t="shared" si="144"/>
        <v>0.385681327499295</v>
      </c>
      <c r="BC125" s="30" t="str">
        <f t="shared" si="145"/>
        <v>-0,120939434282028+0,305281636881494i</v>
      </c>
      <c r="BD125" s="32">
        <f t="shared" si="146"/>
        <v>-9.67287684221242</v>
      </c>
      <c r="BE125" s="31">
        <f t="shared" si="147"/>
        <v>111.611337589651</v>
      </c>
      <c r="BF125" s="30" t="str">
        <f t="shared" si="148"/>
        <v>9,64336892013283+6,50726206334767i</v>
      </c>
      <c r="BG125" s="68">
        <f t="shared" si="149"/>
        <v>21.3142303924367</v>
      </c>
      <c r="BH125" s="31">
        <f t="shared" si="150"/>
        <v>34.0111369256548</v>
      </c>
      <c r="BI125" s="30" t="str">
        <f t="shared" si="156"/>
        <v>51,2714628153242+39,1787407962004i</v>
      </c>
      <c r="BJ125" s="68">
        <f t="shared" si="151"/>
        <v>36.1948325111486</v>
      </c>
      <c r="BK125" s="31">
        <f t="shared" si="157"/>
        <v>37.3850087516245</v>
      </c>
      <c r="BL125" s="32">
        <f t="shared" si="152"/>
        <v>21.3142303924367</v>
      </c>
      <c r="BM125" s="31">
        <f t="shared" si="153"/>
        <v>34.0111369256548</v>
      </c>
      <c r="BO125">
        <f t="shared" si="154"/>
        <v>0</v>
      </c>
      <c r="BP125">
        <f t="shared" si="155"/>
        <v>0</v>
      </c>
    </row>
    <row r="126" spans="14:68">
      <c r="N126" s="7">
        <v>8</v>
      </c>
      <c r="O126" s="18">
        <f t="shared" si="158"/>
        <v>120.226443461741</v>
      </c>
      <c r="P126" s="86" t="str">
        <f t="shared" si="105"/>
        <v>163,636363636364</v>
      </c>
      <c r="Q126" s="4" t="str">
        <f t="shared" si="106"/>
        <v>1+4,6148379592607i</v>
      </c>
      <c r="R126" s="4">
        <f t="shared" si="118"/>
        <v>4.72194127348419</v>
      </c>
      <c r="S126" s="4">
        <f t="shared" si="119"/>
        <v>1.35740317009341</v>
      </c>
      <c r="T126" s="4" t="str">
        <f t="shared" si="107"/>
        <v>1+0,0118447507621024i</v>
      </c>
      <c r="U126" s="4">
        <f t="shared" si="120"/>
        <v>1.00007014660004</v>
      </c>
      <c r="V126" s="4">
        <f t="shared" si="121"/>
        <v>0.0118441968766367</v>
      </c>
      <c r="W126" t="str">
        <f t="shared" si="108"/>
        <v>1-0,011331075346399i</v>
      </c>
      <c r="X126" s="4">
        <f t="shared" si="122"/>
        <v>1.00006419457378</v>
      </c>
      <c r="Y126" s="4">
        <f t="shared" si="123"/>
        <v>-0.0113305904391539</v>
      </c>
      <c r="Z126" t="str">
        <f t="shared" si="109"/>
        <v>0,999999882004917+0,00234715132175408i</v>
      </c>
      <c r="AA126" s="4">
        <f t="shared" si="124"/>
        <v>1.00000263656111</v>
      </c>
      <c r="AB126" s="4">
        <f t="shared" si="125"/>
        <v>0.00234714728847358</v>
      </c>
      <c r="AC126" s="67" t="str">
        <f t="shared" si="126"/>
        <v>7,27787687408613-33,8862957677615i</v>
      </c>
      <c r="AD126" s="68">
        <f t="shared" si="127"/>
        <v>30.7963287017886</v>
      </c>
      <c r="AE126" s="31">
        <f t="shared" si="128"/>
        <v>-77.8785268963578</v>
      </c>
      <c r="AF126" s="32" t="str">
        <f t="shared" si="129"/>
        <v>748,315388573934</v>
      </c>
      <c r="AG126" s="32" t="str">
        <f t="shared" si="110"/>
        <v>1+3,76023833717538i</v>
      </c>
      <c r="AH126" s="32">
        <f t="shared" si="130"/>
        <v>3.89093720745574</v>
      </c>
      <c r="AI126" s="32">
        <f t="shared" si="131"/>
        <v>1.31087193038785</v>
      </c>
      <c r="AJ126" s="32" t="str">
        <f t="shared" si="111"/>
        <v>1+0,0118447507621024i</v>
      </c>
      <c r="AK126" s="32">
        <f t="shared" si="132"/>
        <v>1.00007014660004</v>
      </c>
      <c r="AL126" s="32">
        <f t="shared" si="133"/>
        <v>0.0118441968766367</v>
      </c>
      <c r="AM126" s="32" t="str">
        <f t="shared" si="112"/>
        <v>1-0,00201890484618791i</v>
      </c>
      <c r="AN126" s="32">
        <f t="shared" si="134"/>
        <v>1.00000203798631</v>
      </c>
      <c r="AO126" s="32">
        <f t="shared" si="135"/>
        <v>-0.00201890210319153</v>
      </c>
      <c r="AP126" s="30" t="str">
        <f t="shared" si="136"/>
        <v>51,2558010889432-185,381196552645i</v>
      </c>
      <c r="AQ126" s="32">
        <f t="shared" si="137"/>
        <v>45.6812360484258</v>
      </c>
      <c r="AR126" s="31">
        <f t="shared" si="138"/>
        <v>-74.5444811704007</v>
      </c>
      <c r="AS126" t="str">
        <f t="shared" si="113"/>
        <v>-0,0000504684572142411</v>
      </c>
      <c r="AT126" t="str">
        <f t="shared" si="114"/>
        <v>0,000169739508689057i</v>
      </c>
      <c r="AU126">
        <f t="shared" si="139"/>
        <v>0.000169739508689057</v>
      </c>
      <c r="AV126">
        <f t="shared" si="140"/>
        <v>1.5707963267949</v>
      </c>
      <c r="AW126" t="str">
        <f t="shared" si="115"/>
        <v>1+0,00869035151177614i</v>
      </c>
      <c r="AX126">
        <f t="shared" si="141"/>
        <v>1.00003776039178</v>
      </c>
      <c r="AY126">
        <f t="shared" si="142"/>
        <v>0.00869013275017333</v>
      </c>
      <c r="AZ126" t="str">
        <f t="shared" si="116"/>
        <v>1+0,415472762701297i</v>
      </c>
      <c r="BA126">
        <f t="shared" si="143"/>
        <v>1.08287470029854</v>
      </c>
      <c r="BB126">
        <f t="shared" si="144"/>
        <v>0.393773397715173</v>
      </c>
      <c r="BC126" s="30" t="str">
        <f t="shared" si="145"/>
        <v>-0,120939023232757+0,298379877933689i</v>
      </c>
      <c r="BD126" s="32">
        <f t="shared" si="146"/>
        <v>-9.84402207064838</v>
      </c>
      <c r="BE126" s="31">
        <f t="shared" si="147"/>
        <v>112.063645843612</v>
      </c>
      <c r="BF126" s="30" t="str">
        <f t="shared" si="148"/>
        <v>9,23080947444931+6,26974752443562i</v>
      </c>
      <c r="BG126" s="68">
        <f t="shared" si="149"/>
        <v>20.9523066311402</v>
      </c>
      <c r="BH126" s="31">
        <f t="shared" si="150"/>
        <v>34.1851189472546</v>
      </c>
      <c r="BI126" s="30" t="str">
        <f t="shared" si="156"/>
        <v>49,1151922798701+37,7135205091089i</v>
      </c>
      <c r="BJ126" s="68">
        <f t="shared" si="151"/>
        <v>35.8372139777774</v>
      </c>
      <c r="BK126" s="31">
        <f t="shared" si="157"/>
        <v>37.5191646732117</v>
      </c>
      <c r="BL126" s="32">
        <f t="shared" si="152"/>
        <v>20.9523066311402</v>
      </c>
      <c r="BM126" s="31">
        <f t="shared" si="153"/>
        <v>34.1851189472546</v>
      </c>
      <c r="BO126">
        <f t="shared" si="154"/>
        <v>0</v>
      </c>
      <c r="BP126">
        <f t="shared" si="155"/>
        <v>0</v>
      </c>
    </row>
    <row r="127" spans="14:68">
      <c r="N127" s="7">
        <v>9</v>
      </c>
      <c r="O127" s="18">
        <f t="shared" si="158"/>
        <v>123.026877081238</v>
      </c>
      <c r="P127" s="86" t="str">
        <f t="shared" si="105"/>
        <v>163,636363636364</v>
      </c>
      <c r="Q127" s="4" t="str">
        <f t="shared" si="106"/>
        <v>1+4,7223313442227i</v>
      </c>
      <c r="R127" s="4">
        <f t="shared" si="118"/>
        <v>4.82705016802479</v>
      </c>
      <c r="S127" s="4">
        <f t="shared" si="119"/>
        <v>1.36211924782803</v>
      </c>
      <c r="T127" s="4" t="str">
        <f t="shared" si="107"/>
        <v>1+0,0121206504501716i</v>
      </c>
      <c r="U127" s="4">
        <f t="shared" si="120"/>
        <v>1.00007345238604</v>
      </c>
      <c r="V127" s="4">
        <f t="shared" si="121"/>
        <v>0.0121200569535565</v>
      </c>
      <c r="W127" t="str">
        <f t="shared" si="108"/>
        <v>1-0,0115950099969754i</v>
      </c>
      <c r="X127" s="4">
        <f t="shared" si="122"/>
        <v>1.00006721986916</v>
      </c>
      <c r="Y127" s="4">
        <f t="shared" si="123"/>
        <v>-0.0115944904113873</v>
      </c>
      <c r="Z127" t="str">
        <f t="shared" si="109"/>
        <v>0,99999987644398+0,00240182349937347i</v>
      </c>
      <c r="AA127" s="4">
        <f t="shared" si="124"/>
        <v>1.00000276081824</v>
      </c>
      <c r="AB127" s="4">
        <f t="shared" si="125"/>
        <v>0.00240181917763619</v>
      </c>
      <c r="AC127" s="67" t="str">
        <f t="shared" si="126"/>
        <v>6,96161811330291-33,1821327447321i</v>
      </c>
      <c r="AD127" s="68">
        <f t="shared" si="127"/>
        <v>30.6051579892231</v>
      </c>
      <c r="AE127" s="31">
        <f t="shared" si="128"/>
        <v>-78.1511854513929</v>
      </c>
      <c r="AF127" s="32" t="str">
        <f t="shared" si="129"/>
        <v>748,315388573934</v>
      </c>
      <c r="AG127" s="32" t="str">
        <f t="shared" si="110"/>
        <v>1+3,84782553973701i</v>
      </c>
      <c r="AH127" s="32">
        <f t="shared" si="130"/>
        <v>3.97564603357145</v>
      </c>
      <c r="AI127" s="32">
        <f t="shared" si="131"/>
        <v>1.31653407612607</v>
      </c>
      <c r="AJ127" s="32" t="str">
        <f t="shared" si="111"/>
        <v>1+0,0121206504501716i</v>
      </c>
      <c r="AK127" s="32">
        <f t="shared" si="132"/>
        <v>1.00007345238604</v>
      </c>
      <c r="AL127" s="32">
        <f t="shared" si="133"/>
        <v>0.0121200569535565</v>
      </c>
      <c r="AM127" s="32" t="str">
        <f t="shared" si="112"/>
        <v>1-0,00206593118118574i</v>
      </c>
      <c r="AN127" s="32">
        <f t="shared" si="134"/>
        <v>1.00000213403355</v>
      </c>
      <c r="AO127" s="32">
        <f t="shared" si="135"/>
        <v>-0.0020659282420125</v>
      </c>
      <c r="AP127" s="30" t="str">
        <f t="shared" si="136"/>
        <v>49,177356054599-181,701785446853i</v>
      </c>
      <c r="AQ127" s="32">
        <f t="shared" si="137"/>
        <v>45.4941958251491</v>
      </c>
      <c r="AR127" s="31">
        <f t="shared" si="138"/>
        <v>-74.855787005326</v>
      </c>
      <c r="AS127" t="str">
        <f t="shared" si="113"/>
        <v>-0,0000504684572142411</v>
      </c>
      <c r="AT127" t="str">
        <f t="shared" si="114"/>
        <v>0,000173693249754691i</v>
      </c>
      <c r="AU127">
        <f t="shared" si="139"/>
        <v>0.000173693249754691</v>
      </c>
      <c r="AV127">
        <f t="shared" si="140"/>
        <v>1.5707963267949</v>
      </c>
      <c r="AW127" t="str">
        <f t="shared" si="115"/>
        <v>1+0,008892775802457i</v>
      </c>
      <c r="AX127">
        <f t="shared" si="141"/>
        <v>1.00003953994903</v>
      </c>
      <c r="AY127">
        <f t="shared" si="142"/>
        <v>0.0088925413956769</v>
      </c>
      <c r="AZ127" t="str">
        <f t="shared" si="116"/>
        <v>1+0,425150366555763i</v>
      </c>
      <c r="BA127">
        <f t="shared" si="143"/>
        <v>1.08662451388808</v>
      </c>
      <c r="BB127">
        <f t="shared" si="144"/>
        <v>0.401998002372152</v>
      </c>
      <c r="BC127" s="30" t="str">
        <f t="shared" si="145"/>
        <v>-0,120938592814326+0,291636323609921i</v>
      </c>
      <c r="BD127" s="32">
        <f t="shared" si="146"/>
        <v>-10.0140117043338</v>
      </c>
      <c r="BE127" s="31">
        <f t="shared" si="147"/>
        <v>112.523283817497</v>
      </c>
      <c r="BF127" s="30" t="str">
        <f t="shared" si="148"/>
        <v>8,83518690487647+6,04326115366596i</v>
      </c>
      <c r="BG127" s="68">
        <f t="shared" si="149"/>
        <v>20.5911462848893</v>
      </c>
      <c r="BH127" s="31">
        <f t="shared" si="150"/>
        <v>34.3720983661038</v>
      </c>
      <c r="BI127" s="30" t="str">
        <f t="shared" si="156"/>
        <v>47,0434004615066+36,3166615684123i</v>
      </c>
      <c r="BJ127" s="68">
        <f t="shared" si="151"/>
        <v>35.4801841208153</v>
      </c>
      <c r="BK127" s="31">
        <f t="shared" si="157"/>
        <v>37.6674968121707</v>
      </c>
      <c r="BL127" s="32">
        <f t="shared" si="152"/>
        <v>20.5911462848893</v>
      </c>
      <c r="BM127" s="31">
        <f t="shared" si="153"/>
        <v>34.3720983661038</v>
      </c>
      <c r="BO127">
        <f t="shared" si="154"/>
        <v>0</v>
      </c>
      <c r="BP127">
        <f t="shared" si="155"/>
        <v>0</v>
      </c>
    </row>
    <row r="128" spans="14:68">
      <c r="N128" s="7">
        <v>10</v>
      </c>
      <c r="O128" s="18">
        <f t="shared" si="158"/>
        <v>125.892541179417</v>
      </c>
      <c r="P128" s="86" t="str">
        <f t="shared" si="105"/>
        <v>163,636363636364</v>
      </c>
      <c r="Q128" s="4" t="str">
        <f t="shared" si="106"/>
        <v>1+4,83232857177086i</v>
      </c>
      <c r="R128" s="4">
        <f t="shared" si="118"/>
        <v>4.93471371262336</v>
      </c>
      <c r="S128" s="4">
        <f t="shared" si="119"/>
        <v>1.3667370944904</v>
      </c>
      <c r="T128" s="4" t="str">
        <f t="shared" si="107"/>
        <v>1+0,0124029766675452i</v>
      </c>
      <c r="U128" s="4">
        <f t="shared" si="120"/>
        <v>1.00007691395723</v>
      </c>
      <c r="V128" s="4">
        <f t="shared" si="121"/>
        <v>0.012402340727106</v>
      </c>
      <c r="W128" t="str">
        <f t="shared" si="108"/>
        <v>1-0,0118650924753302i</v>
      </c>
      <c r="X128" s="4">
        <f t="shared" si="122"/>
        <v>1.00007038773251</v>
      </c>
      <c r="Y128" s="4">
        <f t="shared" si="123"/>
        <v>-0.0118645357314581</v>
      </c>
      <c r="Z128" t="str">
        <f t="shared" si="109"/>
        <v>0,999999870620964+0,00245776915560412i</v>
      </c>
      <c r="AA128" s="4">
        <f t="shared" si="124"/>
        <v>1.0000028909314</v>
      </c>
      <c r="AB128" s="4">
        <f t="shared" si="125"/>
        <v>0.00245776452477992</v>
      </c>
      <c r="AC128" s="67" t="str">
        <f t="shared" si="126"/>
        <v>6,65839669963526-32,4897809883075i</v>
      </c>
      <c r="AD128" s="68">
        <f t="shared" si="127"/>
        <v>30.4136114447293</v>
      </c>
      <c r="AE128" s="31">
        <f t="shared" si="128"/>
        <v>-78.4182727961279</v>
      </c>
      <c r="AF128" s="32" t="str">
        <f t="shared" si="129"/>
        <v>748,315388573934</v>
      </c>
      <c r="AG128" s="32" t="str">
        <f t="shared" si="110"/>
        <v>1+3,93745291033181i</v>
      </c>
      <c r="AH128" s="32">
        <f t="shared" si="130"/>
        <v>4.06245435926121</v>
      </c>
      <c r="AI128" s="32">
        <f t="shared" si="131"/>
        <v>1.32208348442552</v>
      </c>
      <c r="AJ128" s="32" t="str">
        <f t="shared" si="111"/>
        <v>1+0,0124029766675452i</v>
      </c>
      <c r="AK128" s="32">
        <f t="shared" si="132"/>
        <v>1.00007691395723</v>
      </c>
      <c r="AL128" s="32">
        <f t="shared" si="133"/>
        <v>0.012402340727106</v>
      </c>
      <c r="AM128" s="32" t="str">
        <f t="shared" si="112"/>
        <v>1-0,00211405290024168i</v>
      </c>
      <c r="AN128" s="32">
        <f t="shared" si="134"/>
        <v>1.00000223460734</v>
      </c>
      <c r="AO128" s="32">
        <f t="shared" si="135"/>
        <v>-0.00211404975086119</v>
      </c>
      <c r="AP128" s="30" t="str">
        <f t="shared" si="136"/>
        <v>47,1808529103261-178,073026616763i</v>
      </c>
      <c r="AQ128" s="32">
        <f t="shared" si="137"/>
        <v>45.3066110791091</v>
      </c>
      <c r="AR128" s="31">
        <f t="shared" si="138"/>
        <v>-75.1603281701907</v>
      </c>
      <c r="AS128" t="str">
        <f t="shared" si="113"/>
        <v>-0,0000504684572142411</v>
      </c>
      <c r="AT128" t="str">
        <f t="shared" si="114"/>
        <v>0,000177739085280447i</v>
      </c>
      <c r="AU128">
        <f t="shared" si="139"/>
        <v>0.000177739085280447</v>
      </c>
      <c r="AV128">
        <f t="shared" si="140"/>
        <v>1.5707963267949</v>
      </c>
      <c r="AW128" t="str">
        <f t="shared" si="115"/>
        <v>1+0,00909991516057814i</v>
      </c>
      <c r="AX128">
        <f t="shared" si="141"/>
        <v>1.00004140337085</v>
      </c>
      <c r="AY128">
        <f t="shared" si="142"/>
        <v>0.00909966398974962</v>
      </c>
      <c r="AZ128" t="str">
        <f t="shared" si="116"/>
        <v>1+0,435053390762107i</v>
      </c>
      <c r="BA128">
        <f t="shared" si="143"/>
        <v>1.09053723128264</v>
      </c>
      <c r="BB128">
        <f t="shared" si="144"/>
        <v>0.410355050444407</v>
      </c>
      <c r="BC128" s="30" t="str">
        <f t="shared" si="145"/>
        <v>-0,120938142114182+0,285047398364348i</v>
      </c>
      <c r="BD128" s="32">
        <f t="shared" si="146"/>
        <v>-10.1828079137552</v>
      </c>
      <c r="BE128" s="31">
        <f t="shared" si="147"/>
        <v>112.990240150743</v>
      </c>
      <c r="BF128" s="30" t="str">
        <f t="shared" si="148"/>
        <v>8,45587341783142+5,82721240693137i</v>
      </c>
      <c r="BG128" s="68">
        <f t="shared" si="149"/>
        <v>20.2308035309742</v>
      </c>
      <c r="BH128" s="31">
        <f t="shared" si="150"/>
        <v>34.5719673546147</v>
      </c>
      <c r="BI128" s="30" t="str">
        <f t="shared" si="156"/>
        <v>45,0532882616363+34,98460037438i</v>
      </c>
      <c r="BJ128" s="68">
        <f t="shared" si="151"/>
        <v>35.1238031653539</v>
      </c>
      <c r="BK128" s="31">
        <f t="shared" si="157"/>
        <v>37.8299119805519</v>
      </c>
      <c r="BL128" s="32">
        <f t="shared" si="152"/>
        <v>20.2308035309742</v>
      </c>
      <c r="BM128" s="31">
        <f t="shared" si="153"/>
        <v>34.5719673546147</v>
      </c>
      <c r="BO128">
        <f t="shared" si="154"/>
        <v>0</v>
      </c>
      <c r="BP128">
        <f t="shared" si="155"/>
        <v>0</v>
      </c>
    </row>
    <row r="129" spans="14:68">
      <c r="N129" s="7">
        <v>11</v>
      </c>
      <c r="O129" s="18">
        <f t="shared" si="158"/>
        <v>128.824955169313</v>
      </c>
      <c r="P129" s="86" t="str">
        <f t="shared" si="105"/>
        <v>163,636363636364</v>
      </c>
      <c r="Q129" s="4" t="str">
        <f t="shared" si="106"/>
        <v>1+4,94488796389115i</v>
      </c>
      <c r="R129" s="4">
        <f t="shared" si="118"/>
        <v>5.04498929388711</v>
      </c>
      <c r="S129" s="4">
        <f t="shared" si="119"/>
        <v>1.37125837036897</v>
      </c>
      <c r="T129" s="4" t="str">
        <f t="shared" si="107"/>
        <v>1+0,0126918791073206i</v>
      </c>
      <c r="U129" s="4">
        <f t="shared" si="120"/>
        <v>1.0000805386544</v>
      </c>
      <c r="V129" s="4">
        <f t="shared" si="121"/>
        <v>0.0126911976878268</v>
      </c>
      <c r="W129" t="str">
        <f t="shared" si="108"/>
        <v>1-0,0121414659827685i</v>
      </c>
      <c r="X129" s="4">
        <f t="shared" si="122"/>
        <v>1.0000737048819</v>
      </c>
      <c r="Y129" s="4">
        <f t="shared" si="123"/>
        <v>-0.0121408694233361</v>
      </c>
      <c r="Z129" t="str">
        <f t="shared" si="109"/>
        <v>0,999999864523518+0,00251501795357346i</v>
      </c>
      <c r="AA129" s="4">
        <f t="shared" si="124"/>
        <v>1.0000030271766</v>
      </c>
      <c r="AB129" s="4">
        <f t="shared" si="125"/>
        <v>0.00251501299155674</v>
      </c>
      <c r="AC129" s="67" t="str">
        <f t="shared" si="126"/>
        <v>6,36772478854466-31,8092279387097i</v>
      </c>
      <c r="AD129" s="68">
        <f t="shared" si="127"/>
        <v>30.2217048168841</v>
      </c>
      <c r="AE129" s="31">
        <f t="shared" si="128"/>
        <v>-78.6798853870637</v>
      </c>
      <c r="AF129" s="32" t="str">
        <f t="shared" si="129"/>
        <v>748,315388573934</v>
      </c>
      <c r="AG129" s="32" t="str">
        <f t="shared" si="110"/>
        <v>1+4,02916797057797i</v>
      </c>
      <c r="AH129" s="32">
        <f t="shared" si="130"/>
        <v>4.15140874103375</v>
      </c>
      <c r="AI129" s="32">
        <f t="shared" si="131"/>
        <v>1.32752172988753</v>
      </c>
      <c r="AJ129" s="32" t="str">
        <f t="shared" si="111"/>
        <v>1+0,0126918791073206i</v>
      </c>
      <c r="AK129" s="32">
        <f t="shared" si="132"/>
        <v>1.0000805386544</v>
      </c>
      <c r="AL129" s="32">
        <f t="shared" si="133"/>
        <v>0.0126911976878268</v>
      </c>
      <c r="AM129" s="32" t="str">
        <f t="shared" si="112"/>
        <v>1-0,0021632955181281i</v>
      </c>
      <c r="AN129" s="32">
        <f t="shared" si="134"/>
        <v>1.00000233992101</v>
      </c>
      <c r="AO129" s="32">
        <f t="shared" si="135"/>
        <v>-0.00216329214350654</v>
      </c>
      <c r="AP129" s="30" t="str">
        <f t="shared" si="136"/>
        <v>45,2635336769382-174,495679006617i</v>
      </c>
      <c r="AQ129" s="32">
        <f t="shared" si="137"/>
        <v>45.1185034629987</v>
      </c>
      <c r="AR129" s="31">
        <f t="shared" si="138"/>
        <v>-75.4581877796597</v>
      </c>
      <c r="AS129" t="str">
        <f t="shared" si="113"/>
        <v>-0,0000504684572142411</v>
      </c>
      <c r="AT129" t="str">
        <f t="shared" si="114"/>
        <v>0,000181879160421871i</v>
      </c>
      <c r="AU129">
        <f t="shared" si="139"/>
        <v>0.000181879160421871</v>
      </c>
      <c r="AV129">
        <f t="shared" si="140"/>
        <v>1.5707963267949</v>
      </c>
      <c r="AW129" t="str">
        <f t="shared" si="115"/>
        <v>1+0,00931187941416894i</v>
      </c>
      <c r="AX129">
        <f t="shared" si="141"/>
        <v>1.0000433546093</v>
      </c>
      <c r="AY129">
        <f t="shared" si="142"/>
        <v>0.00931161028040742</v>
      </c>
      <c r="AZ129" t="str">
        <f t="shared" si="116"/>
        <v>1+0,445187086034842i</v>
      </c>
      <c r="BA129">
        <f t="shared" si="143"/>
        <v>1.0946193592168</v>
      </c>
      <c r="BB129">
        <f t="shared" si="144"/>
        <v>0.418844302631552</v>
      </c>
      <c r="BC129" s="30" t="str">
        <f t="shared" si="145"/>
        <v>-0,120937670176797+0,278609608635792i</v>
      </c>
      <c r="BD129" s="32">
        <f t="shared" si="146"/>
        <v>-10.3503723092508</v>
      </c>
      <c r="BE129" s="31">
        <f t="shared" si="147"/>
        <v>113.46449484435</v>
      </c>
      <c r="BF129" s="30" t="str">
        <f t="shared" si="148"/>
        <v>8,09225874675698+5,62104322826709i</v>
      </c>
      <c r="BG129" s="68">
        <f t="shared" si="149"/>
        <v>19.8713325076333</v>
      </c>
      <c r="BH129" s="31">
        <f t="shared" si="150"/>
        <v>34.7846094572865</v>
      </c>
      <c r="BI129" s="30" t="str">
        <f t="shared" si="156"/>
        <v>43,1421065298125+33,7139562781832i</v>
      </c>
      <c r="BJ129" s="68">
        <f t="shared" si="151"/>
        <v>34.7681311537479</v>
      </c>
      <c r="BK129" s="31">
        <f t="shared" si="157"/>
        <v>38.0063070646904</v>
      </c>
      <c r="BL129" s="32">
        <f t="shared" si="152"/>
        <v>19.8713325076333</v>
      </c>
      <c r="BM129" s="31">
        <f t="shared" si="153"/>
        <v>34.7846094572865</v>
      </c>
      <c r="BO129">
        <f t="shared" si="154"/>
        <v>0</v>
      </c>
      <c r="BP129">
        <f t="shared" si="155"/>
        <v>0</v>
      </c>
    </row>
    <row r="130" spans="14:68">
      <c r="N130" s="7">
        <v>12</v>
      </c>
      <c r="O130" s="18">
        <f t="shared" si="158"/>
        <v>131.825673855641</v>
      </c>
      <c r="P130" s="86" t="str">
        <f t="shared" si="105"/>
        <v>163,636363636364</v>
      </c>
      <c r="Q130" s="4" t="str">
        <f t="shared" si="106"/>
        <v>1+5,06006920106329i</v>
      </c>
      <c r="R130" s="4">
        <f t="shared" si="118"/>
        <v>5.15793566454151</v>
      </c>
      <c r="S130" s="4">
        <f t="shared" si="119"/>
        <v>1.37568473296587</v>
      </c>
      <c r="T130" s="4" t="str">
        <f t="shared" si="107"/>
        <v>1+0,0129875109493958i</v>
      </c>
      <c r="U130" s="4">
        <f t="shared" si="120"/>
        <v>1.0000843341642</v>
      </c>
      <c r="V130" s="4">
        <f t="shared" si="121"/>
        <v>0.0129867807985787</v>
      </c>
      <c r="W130" t="str">
        <f t="shared" si="108"/>
        <v>1-0,0124242770561822i</v>
      </c>
      <c r="X130" s="4">
        <f t="shared" si="122"/>
        <v>1.00007717835194</v>
      </c>
      <c r="Y130" s="4">
        <f t="shared" si="123"/>
        <v>-0.0124236378338979</v>
      </c>
      <c r="Z130" t="str">
        <f t="shared" si="109"/>
        <v>0,999999858138708+0,00257360024735202i</v>
      </c>
      <c r="AA130" s="4">
        <f t="shared" si="124"/>
        <v>1.00000316984281</v>
      </c>
      <c r="AB130" s="4">
        <f t="shared" si="125"/>
        <v>0.00257359493045622</v>
      </c>
      <c r="AC130" s="67" t="str">
        <f t="shared" si="126"/>
        <v>6,08912856443433-31,1404468315301i</v>
      </c>
      <c r="AD130" s="68">
        <f t="shared" si="127"/>
        <v>30.0294532724518</v>
      </c>
      <c r="AE130" s="31">
        <f t="shared" si="128"/>
        <v>-78.9361195520788</v>
      </c>
      <c r="AF130" s="32" t="str">
        <f t="shared" si="129"/>
        <v>748,315388573934</v>
      </c>
      <c r="AG130" s="32" t="str">
        <f t="shared" si="110"/>
        <v>1+4,12301934901453i</v>
      </c>
      <c r="AH130" s="32">
        <f t="shared" si="130"/>
        <v>4.24255684138094</v>
      </c>
      <c r="AI130" s="32">
        <f t="shared" si="131"/>
        <v>1.33285040872534</v>
      </c>
      <c r="AJ130" s="32" t="str">
        <f t="shared" si="111"/>
        <v>1+0,0129875109493958i</v>
      </c>
      <c r="AK130" s="32">
        <f t="shared" si="132"/>
        <v>1.0000843341642</v>
      </c>
      <c r="AL130" s="32">
        <f t="shared" si="133"/>
        <v>0.0129867807985787</v>
      </c>
      <c r="AM130" s="32" t="str">
        <f t="shared" si="112"/>
        <v>1-0,00221368514393286i</v>
      </c>
      <c r="AN130" s="32">
        <f t="shared" si="134"/>
        <v>1.00000245019796</v>
      </c>
      <c r="AO130" s="32">
        <f t="shared" si="135"/>
        <v>-0.00221368152796118</v>
      </c>
      <c r="AP130" s="30" t="str">
        <f t="shared" si="136"/>
        <v>43,4226935220937-170,970385933877i</v>
      </c>
      <c r="AQ130" s="32">
        <f t="shared" si="137"/>
        <v>44.9298939006086</v>
      </c>
      <c r="AR130" s="31">
        <f t="shared" si="138"/>
        <v>-75.749450021767</v>
      </c>
      <c r="AS130" t="str">
        <f t="shared" si="113"/>
        <v>-0,0000504684572142411</v>
      </c>
      <c r="AT130" t="str">
        <f t="shared" si="114"/>
        <v>0,000186115670301609i</v>
      </c>
      <c r="AU130">
        <f t="shared" si="139"/>
        <v>0.000186115670301609</v>
      </c>
      <c r="AV130">
        <f t="shared" si="140"/>
        <v>1.5707963267949</v>
      </c>
      <c r="AW130" t="str">
        <f t="shared" si="115"/>
        <v>1+0,00952878094948255i</v>
      </c>
      <c r="AX130">
        <f t="shared" si="141"/>
        <v>1.00004539780271</v>
      </c>
      <c r="AY130">
        <f t="shared" si="142"/>
        <v>0.00952849256816843</v>
      </c>
      <c r="AZ130" t="str">
        <f t="shared" si="116"/>
        <v>1+0,455556825393346i</v>
      </c>
      <c r="BA130">
        <f t="shared" si="143"/>
        <v>1.09887761882862</v>
      </c>
      <c r="BB130">
        <f t="shared" si="144"/>
        <v>0.427465364613342</v>
      </c>
      <c r="BC130" s="30" t="str">
        <f t="shared" si="145"/>
        <v>-0,120937176001634+0,272319540995267i</v>
      </c>
      <c r="BD130" s="32">
        <f t="shared" si="146"/>
        <v>-10.5166659884372</v>
      </c>
      <c r="BE130" s="31">
        <f t="shared" si="147"/>
        <v>113.946018871087</v>
      </c>
      <c r="BF130" s="30" t="str">
        <f t="shared" si="148"/>
        <v>7,74375017465622+5,42422639496221i</v>
      </c>
      <c r="BG130" s="68">
        <f t="shared" si="149"/>
        <v>19.5127872840146</v>
      </c>
      <c r="BH130" s="31">
        <f t="shared" si="150"/>
        <v>35.0098993190087</v>
      </c>
      <c r="BI130" s="30" t="str">
        <f t="shared" si="156"/>
        <v>41,3071590923506+32,5015236234673i</v>
      </c>
      <c r="BJ130" s="68">
        <f t="shared" si="151"/>
        <v>34.4132279121714</v>
      </c>
      <c r="BK130" s="31">
        <f t="shared" si="157"/>
        <v>38.1965688493205</v>
      </c>
      <c r="BL130" s="32">
        <f t="shared" si="152"/>
        <v>19.5127872840146</v>
      </c>
      <c r="BM130" s="31">
        <f t="shared" si="153"/>
        <v>35.0098993190087</v>
      </c>
      <c r="BO130">
        <f t="shared" si="154"/>
        <v>0</v>
      </c>
      <c r="BP130">
        <f t="shared" si="155"/>
        <v>0</v>
      </c>
    </row>
    <row r="131" spans="14:68">
      <c r="N131" s="7">
        <v>13</v>
      </c>
      <c r="O131" s="18">
        <f t="shared" si="158"/>
        <v>134.896288259165</v>
      </c>
      <c r="P131" s="86" t="str">
        <f t="shared" si="105"/>
        <v>163,636363636364</v>
      </c>
      <c r="Q131" s="4" t="str">
        <f t="shared" si="106"/>
        <v>1+5,17793335390372i</v>
      </c>
      <c r="R131" s="4">
        <f t="shared" si="118"/>
        <v>5.27361297569974</v>
      </c>
      <c r="S131" s="4">
        <f t="shared" si="119"/>
        <v>1.38001783507193</v>
      </c>
      <c r="T131" s="4" t="str">
        <f t="shared" si="107"/>
        <v>1+0,0132900289416862i</v>
      </c>
      <c r="U131" s="4">
        <f t="shared" si="120"/>
        <v>1.00008830853544</v>
      </c>
      <c r="V131" s="4">
        <f t="shared" si="121"/>
        <v>0.013289246574721</v>
      </c>
      <c r="W131" t="str">
        <f t="shared" si="108"/>
        <v>1-0,0127136756457457i</v>
      </c>
      <c r="X131" s="4">
        <f t="shared" si="122"/>
        <v>1.00008081550864</v>
      </c>
      <c r="Y131" s="4">
        <f t="shared" si="123"/>
        <v>-0.012712990709717</v>
      </c>
      <c r="Z131" t="str">
        <f t="shared" si="109"/>
        <v>0,999999851452991+0,00263354709804733i</v>
      </c>
      <c r="AA131" s="4">
        <f t="shared" si="124"/>
        <v>1.00000331923265</v>
      </c>
      <c r="AB131" s="4">
        <f t="shared" si="125"/>
        <v>0.00263354140089186</v>
      </c>
      <c r="AC131" s="67" t="str">
        <f t="shared" si="126"/>
        <v>5,82214821318761-30,4833977308421i</v>
      </c>
      <c r="AD131" s="68">
        <f t="shared" si="127"/>
        <v>29.8368714137774</v>
      </c>
      <c r="AE131" s="31">
        <f t="shared" si="128"/>
        <v>-79.187071380862</v>
      </c>
      <c r="AF131" s="32" t="str">
        <f t="shared" si="129"/>
        <v>748,315388573934</v>
      </c>
      <c r="AG131" s="32" t="str">
        <f t="shared" si="110"/>
        <v>1+4,21905680688451i</v>
      </c>
      <c r="AH131" s="32">
        <f t="shared" si="130"/>
        <v>4.33594745582998</v>
      </c>
      <c r="AI131" s="32">
        <f t="shared" si="131"/>
        <v>1.33807113529664</v>
      </c>
      <c r="AJ131" s="32" t="str">
        <f t="shared" si="111"/>
        <v>1+0,0132900289416862i</v>
      </c>
      <c r="AK131" s="32">
        <f t="shared" si="132"/>
        <v>1.00008830853544</v>
      </c>
      <c r="AL131" s="32">
        <f t="shared" si="133"/>
        <v>0.013289246574721</v>
      </c>
      <c r="AM131" s="32" t="str">
        <f t="shared" si="112"/>
        <v>1-0,0022652484949025i</v>
      </c>
      <c r="AN131" s="32">
        <f t="shared" si="134"/>
        <v>1.00000256567208</v>
      </c>
      <c r="AO131" s="32">
        <f t="shared" si="135"/>
        <v>-0.00226524462031958</v>
      </c>
      <c r="AP131" s="30" t="str">
        <f t="shared" si="136"/>
        <v>41,6556833537579-167,497681535121i</v>
      </c>
      <c r="AQ131" s="32">
        <f t="shared" si="137"/>
        <v>44.7408026015726</v>
      </c>
      <c r="AR131" s="31">
        <f t="shared" si="138"/>
        <v>-76.0341999554451</v>
      </c>
      <c r="AS131" t="str">
        <f t="shared" si="113"/>
        <v>-0,0000504684572142411</v>
      </c>
      <c r="AT131" t="str">
        <f t="shared" si="114"/>
        <v>0,000190450861173271i</v>
      </c>
      <c r="AU131">
        <f t="shared" si="139"/>
        <v>0.000190450861173271</v>
      </c>
      <c r="AV131">
        <f t="shared" si="140"/>
        <v>1.5707963267949</v>
      </c>
      <c r="AW131" t="str">
        <f t="shared" si="115"/>
        <v>1+0,0097507347705838i</v>
      </c>
      <c r="AX131">
        <f t="shared" si="141"/>
        <v>1.00004753728439</v>
      </c>
      <c r="AY131">
        <f t="shared" si="142"/>
        <v>0.00975042576523177</v>
      </c>
      <c r="AZ131" t="str">
        <f t="shared" si="116"/>
        <v>1+0,466168107010676i</v>
      </c>
      <c r="BA131">
        <f t="shared" si="143"/>
        <v>1.10331894934961</v>
      </c>
      <c r="BB131">
        <f t="shared" si="144"/>
        <v>0.436217680426432</v>
      </c>
      <c r="BC131" s="30" t="str">
        <f t="shared" si="145"/>
        <v>-0,120936658541043+0,266173860336035i</v>
      </c>
      <c r="BD131" s="32">
        <f t="shared" si="146"/>
        <v>-10.6816495884299</v>
      </c>
      <c r="BE131" s="31">
        <f t="shared" si="147"/>
        <v>114.434773792618</v>
      </c>
      <c r="BF131" s="30" t="str">
        <f t="shared" si="148"/>
        <v>7,40977249974336+5,23626392789835i</v>
      </c>
      <c r="BG131" s="68">
        <f t="shared" si="149"/>
        <v>19.1552218253475</v>
      </c>
      <c r="BH131" s="31">
        <f t="shared" si="150"/>
        <v>35.2477024117557</v>
      </c>
      <c r="BI131" s="30" t="str">
        <f t="shared" si="156"/>
        <v>39,5458053374917+31,3442639614345i</v>
      </c>
      <c r="BJ131" s="68">
        <f t="shared" si="151"/>
        <v>34.0591530131427</v>
      </c>
      <c r="BK131" s="31">
        <f t="shared" si="157"/>
        <v>38.4005738371726</v>
      </c>
      <c r="BL131" s="32">
        <f t="shared" si="152"/>
        <v>19.1552218253475</v>
      </c>
      <c r="BM131" s="31">
        <f t="shared" si="153"/>
        <v>35.2477024117557</v>
      </c>
      <c r="BO131">
        <f t="shared" si="154"/>
        <v>0</v>
      </c>
      <c r="BP131">
        <f t="shared" si="155"/>
        <v>0</v>
      </c>
    </row>
    <row r="132" spans="14:68">
      <c r="N132" s="7">
        <v>14</v>
      </c>
      <c r="O132" s="18">
        <f t="shared" si="158"/>
        <v>138.038426460289</v>
      </c>
      <c r="P132" s="86" t="str">
        <f t="shared" si="105"/>
        <v>163,636363636364</v>
      </c>
      <c r="Q132" s="4" t="str">
        <f t="shared" si="106"/>
        <v>1+5,29854291554649i</v>
      </c>
      <c r="R132" s="4">
        <f t="shared" si="118"/>
        <v>5.39208280981365</v>
      </c>
      <c r="S132" s="4">
        <f t="shared" si="119"/>
        <v>1.3842593229837</v>
      </c>
      <c r="T132" s="4" t="str">
        <f t="shared" si="107"/>
        <v>1+0,013599593483236i</v>
      </c>
      <c r="U132" s="4">
        <f t="shared" si="120"/>
        <v>1.00009247019609</v>
      </c>
      <c r="V132" s="4">
        <f t="shared" si="121"/>
        <v>0.0135987551661153</v>
      </c>
      <c r="W132" t="str">
        <f t="shared" si="108"/>
        <v>1-0,0130098151944222i</v>
      </c>
      <c r="X132" s="4">
        <f t="shared" si="122"/>
        <v>1.00008462406508</v>
      </c>
      <c r="Y132" s="4">
        <f t="shared" si="123"/>
        <v>-0.0130090812755986</v>
      </c>
      <c r="Z132" t="str">
        <f t="shared" si="109"/>
        <v>0,999999844452186+0,00269489029027316i</v>
      </c>
      <c r="AA132" s="4">
        <f t="shared" si="124"/>
        <v>1.000003475663</v>
      </c>
      <c r="AB132" s="4">
        <f t="shared" si="125"/>
        <v>0.00269488418566223</v>
      </c>
      <c r="AC132" s="67" t="str">
        <f t="shared" si="126"/>
        <v>5,56633785380484-29,8380285158796i</v>
      </c>
      <c r="AD132" s="68">
        <f t="shared" si="127"/>
        <v>29.6439732961322</v>
      </c>
      <c r="AE132" s="31">
        <f t="shared" si="128"/>
        <v>-79.4328366235018</v>
      </c>
      <c r="AF132" s="32" t="str">
        <f t="shared" si="129"/>
        <v>748,315388573934</v>
      </c>
      <c r="AG132" s="32" t="str">
        <f t="shared" si="110"/>
        <v>1+4,31733126451936i</v>
      </c>
      <c r="AH132" s="32">
        <f t="shared" si="130"/>
        <v>4.43163054051174</v>
      </c>
      <c r="AI132" s="32">
        <f t="shared" si="131"/>
        <v>1.34318553883263</v>
      </c>
      <c r="AJ132" s="32" t="str">
        <f t="shared" si="111"/>
        <v>1+0,013599593483236i</v>
      </c>
      <c r="AK132" s="32">
        <f t="shared" si="132"/>
        <v>1.00009247019609</v>
      </c>
      <c r="AL132" s="32">
        <f t="shared" si="133"/>
        <v>0.0135987551661153</v>
      </c>
      <c r="AM132" s="32" t="str">
        <f t="shared" si="112"/>
        <v>1-0,00231801291060827i</v>
      </c>
      <c r="AN132" s="32">
        <f t="shared" si="134"/>
        <v>1.00000268658832</v>
      </c>
      <c r="AO132" s="32">
        <f t="shared" si="135"/>
        <v>-0.00231800875891847</v>
      </c>
      <c r="AP132" s="30" t="str">
        <f t="shared" si="136"/>
        <v>39,9599119993588-164,07799705234i</v>
      </c>
      <c r="AQ132" s="32">
        <f t="shared" si="137"/>
        <v>44.5512490767562</v>
      </c>
      <c r="AR132" s="31">
        <f t="shared" si="138"/>
        <v>-76.3125233192255</v>
      </c>
      <c r="AS132" t="str">
        <f t="shared" si="113"/>
        <v>-0,0000504684572142411</v>
      </c>
      <c r="AT132" t="str">
        <f t="shared" si="114"/>
        <v>0,000194887031612444i</v>
      </c>
      <c r="AU132">
        <f t="shared" si="139"/>
        <v>0.000194887031612444</v>
      </c>
      <c r="AV132">
        <f t="shared" si="140"/>
        <v>1.5707963267949</v>
      </c>
      <c r="AW132" t="str">
        <f t="shared" si="115"/>
        <v>1+0,00997785856032675i</v>
      </c>
      <c r="AX132">
        <f t="shared" si="141"/>
        <v>1.00004977759182</v>
      </c>
      <c r="AY132">
        <f t="shared" si="142"/>
        <v>0.00997752745601673</v>
      </c>
      <c r="AZ132" t="str">
        <f t="shared" si="116"/>
        <v>1+0,477026557128812i</v>
      </c>
      <c r="BA132">
        <f t="shared" si="143"/>
        <v>1.10795051162323</v>
      </c>
      <c r="BB132">
        <f t="shared" si="144"/>
        <v>0.445100526007049</v>
      </c>
      <c r="BC132" s="30" t="str">
        <f t="shared" si="145"/>
        <v>-0,120936116698031+0,260169308105114i</v>
      </c>
      <c r="BD132" s="32">
        <f t="shared" si="146"/>
        <v>-10.8452833429496</v>
      </c>
      <c r="BE132" s="31">
        <f t="shared" si="147"/>
        <v>114.930711386051</v>
      </c>
      <c r="BF132" s="30" t="str">
        <f t="shared" si="148"/>
        <v>7,08976794992865+5,0566855667393i</v>
      </c>
      <c r="BG132" s="68">
        <f t="shared" si="149"/>
        <v>18.7986899531826</v>
      </c>
      <c r="BH132" s="31">
        <f t="shared" si="150"/>
        <v>35.4978747625493</v>
      </c>
      <c r="BI132" s="30" t="str">
        <f t="shared" si="156"/>
        <v>37,8554623875827+30,2392984559154i</v>
      </c>
      <c r="BJ132" s="68">
        <f t="shared" si="151"/>
        <v>33.7059657338066</v>
      </c>
      <c r="BK132" s="31">
        <f t="shared" si="157"/>
        <v>38.6181880668257</v>
      </c>
      <c r="BL132" s="32">
        <f t="shared" si="152"/>
        <v>18.7986899531826</v>
      </c>
      <c r="BM132" s="31">
        <f t="shared" si="153"/>
        <v>35.4978747625493</v>
      </c>
      <c r="BO132">
        <f t="shared" si="154"/>
        <v>0</v>
      </c>
      <c r="BP132">
        <f t="shared" si="155"/>
        <v>0</v>
      </c>
    </row>
    <row r="133" spans="14:68">
      <c r="N133" s="7">
        <v>15</v>
      </c>
      <c r="O133" s="18">
        <f t="shared" si="158"/>
        <v>141.253754462275</v>
      </c>
      <c r="P133" s="86" t="str">
        <f t="shared" si="105"/>
        <v>163,636363636364</v>
      </c>
      <c r="Q133" s="4" t="str">
        <f t="shared" si="106"/>
        <v>1+5,42196183477752i</v>
      </c>
      <c r="R133" s="4">
        <f t="shared" si="118"/>
        <v>5.51340821432478</v>
      </c>
      <c r="S133" s="4">
        <f t="shared" si="119"/>
        <v>1.38841083485607</v>
      </c>
      <c r="T133" s="4" t="str">
        <f t="shared" si="107"/>
        <v>1+0,0139163687092623i</v>
      </c>
      <c r="U133" s="4">
        <f t="shared" si="120"/>
        <v>1.0000968279712</v>
      </c>
      <c r="V133" s="4">
        <f t="shared" si="121"/>
        <v>0.0139154704409806</v>
      </c>
      <c r="W133" t="str">
        <f t="shared" si="108"/>
        <v>1-0,0133128527193198i</v>
      </c>
      <c r="X133" s="4">
        <f t="shared" si="122"/>
        <v>1.00008861209771</v>
      </c>
      <c r="Y133" s="4">
        <f t="shared" si="123"/>
        <v>-0.0133120663148951</v>
      </c>
      <c r="Z133" t="str">
        <f t="shared" si="109"/>
        <v>0,999999837121444+0,00275766234900196i</v>
      </c>
      <c r="AA133" s="4">
        <f t="shared" si="124"/>
        <v>1.00000363946565</v>
      </c>
      <c r="AB133" s="4">
        <f t="shared" si="125"/>
        <v>0.00275765580779479</v>
      </c>
      <c r="AC133" s="67" t="str">
        <f t="shared" si="126"/>
        <v>5,32126543343778-29,2042758216988i</v>
      </c>
      <c r="AD133" s="68">
        <f t="shared" si="127"/>
        <v>29.4507724449674</v>
      </c>
      <c r="AE133" s="31">
        <f t="shared" si="128"/>
        <v>-79.673510596859</v>
      </c>
      <c r="AF133" s="32" t="str">
        <f t="shared" si="129"/>
        <v>748,315388573934</v>
      </c>
      <c r="AG133" s="32" t="str">
        <f t="shared" si="110"/>
        <v>1+4,41789482833724i</v>
      </c>
      <c r="AH133" s="32">
        <f t="shared" si="130"/>
        <v>4.529657240261</v>
      </c>
      <c r="AI133" s="32">
        <f t="shared" si="131"/>
        <v>1.34819526035832</v>
      </c>
      <c r="AJ133" s="32" t="str">
        <f t="shared" si="111"/>
        <v>1+0,0139163687092623i</v>
      </c>
      <c r="AK133" s="32">
        <f t="shared" si="132"/>
        <v>1.0000968279712</v>
      </c>
      <c r="AL133" s="32">
        <f t="shared" si="133"/>
        <v>0.0139154704409806</v>
      </c>
      <c r="AM133" s="32" t="str">
        <f t="shared" si="112"/>
        <v>1-0,00237200636744174i</v>
      </c>
      <c r="AN133" s="32">
        <f t="shared" si="134"/>
        <v>1.00000281320315</v>
      </c>
      <c r="AO133" s="32">
        <f t="shared" si="135"/>
        <v>-0.00237200191882665</v>
      </c>
      <c r="AP133" s="30" t="str">
        <f t="shared" si="136"/>
        <v>38,332848000533-160,711666945334i</v>
      </c>
      <c r="AQ133" s="32">
        <f t="shared" si="137"/>
        <v>44.3612521541861</v>
      </c>
      <c r="AR133" s="31">
        <f t="shared" si="138"/>
        <v>-76.5845063508112</v>
      </c>
      <c r="AS133" t="str">
        <f t="shared" si="113"/>
        <v>-0,0000504684572142411</v>
      </c>
      <c r="AT133" t="str">
        <f t="shared" si="114"/>
        <v>0,00019942653373541i</v>
      </c>
      <c r="AU133">
        <f t="shared" si="139"/>
        <v>0.00019942653373541</v>
      </c>
      <c r="AV133">
        <f t="shared" si="140"/>
        <v>1.5707963267949</v>
      </c>
      <c r="AW133" t="str">
        <f t="shared" si="115"/>
        <v>1+0,0102102727427508i</v>
      </c>
      <c r="AX133">
        <f t="shared" si="141"/>
        <v>1.00005212347631</v>
      </c>
      <c r="AY133">
        <f t="shared" si="142"/>
        <v>0.0102099179590893</v>
      </c>
      <c r="AZ133" t="str">
        <f t="shared" si="116"/>
        <v>1+0,488137933041725i</v>
      </c>
      <c r="BA133">
        <f t="shared" si="143"/>
        <v>1.11277969143683</v>
      </c>
      <c r="BB133">
        <f t="shared" si="144"/>
        <v>0.454113002945814</v>
      </c>
      <c r="BC133" s="30" t="str">
        <f t="shared" si="145"/>
        <v>-0,120935549323949+0,254302700575424i</v>
      </c>
      <c r="BD133" s="32">
        <f t="shared" si="146"/>
        <v>-11.0075271443683</v>
      </c>
      <c r="BE133" s="31">
        <f t="shared" si="147"/>
        <v>115.433773282576</v>
      </c>
      <c r="BF133" s="30" t="str">
        <f t="shared" si="148"/>
        <v>6,78319605151623+4,88504730930715i</v>
      </c>
      <c r="BG133" s="68">
        <f t="shared" si="149"/>
        <v>18.4432453005991</v>
      </c>
      <c r="BH133" s="31">
        <f t="shared" si="150"/>
        <v>35.7602626857174</v>
      </c>
      <c r="BI133" s="30" t="str">
        <f t="shared" si="156"/>
        <v>36,2336068880806+29,1839004920843i</v>
      </c>
      <c r="BJ133" s="68">
        <f t="shared" si="151"/>
        <v>33.3537250098178</v>
      </c>
      <c r="BK133" s="31">
        <f t="shared" si="157"/>
        <v>38.8492669317654</v>
      </c>
      <c r="BL133" s="32">
        <f t="shared" si="152"/>
        <v>18.4432453005991</v>
      </c>
      <c r="BM133" s="31">
        <f t="shared" si="153"/>
        <v>35.7602626857174</v>
      </c>
      <c r="BO133">
        <f t="shared" si="154"/>
        <v>0</v>
      </c>
      <c r="BP133">
        <f t="shared" si="155"/>
        <v>0</v>
      </c>
    </row>
    <row r="134" spans="14:68">
      <c r="N134" s="7">
        <v>16</v>
      </c>
      <c r="O134" s="18">
        <f t="shared" si="158"/>
        <v>144.543977074593</v>
      </c>
      <c r="P134" s="86" t="str">
        <f t="shared" si="105"/>
        <v>163,636363636364</v>
      </c>
      <c r="Q134" s="4" t="str">
        <f t="shared" si="106"/>
        <v>1+5,54825554994157i</v>
      </c>
      <c r="R134" s="4">
        <f t="shared" si="118"/>
        <v>5.63765373603749</v>
      </c>
      <c r="S134" s="4">
        <f t="shared" si="119"/>
        <v>1.39247399918398</v>
      </c>
      <c r="T134" s="4" t="str">
        <f t="shared" si="107"/>
        <v>1+0,0142405225781833i</v>
      </c>
      <c r="U134" s="4">
        <f t="shared" si="120"/>
        <v>1.00010139110157</v>
      </c>
      <c r="V134" s="4">
        <f t="shared" si="121"/>
        <v>0.0142395600716483</v>
      </c>
      <c r="W134" t="str">
        <f t="shared" si="108"/>
        <v>1-0,0136229488949458i</v>
      </c>
      <c r="X134" s="4">
        <f t="shared" si="122"/>
        <v>1.00009278806348</v>
      </c>
      <c r="Y134" s="4">
        <f t="shared" si="123"/>
        <v>-0.0136221062516454</v>
      </c>
      <c r="Z134" t="str">
        <f t="shared" si="109"/>
        <v>0,999999829445214+0,0028218965568102i</v>
      </c>
      <c r="AA134" s="4">
        <f t="shared" si="124"/>
        <v>1.00000381098806</v>
      </c>
      <c r="AB134" s="4">
        <f t="shared" si="125"/>
        <v>0.00282188954778188</v>
      </c>
      <c r="AC134" s="67" t="str">
        <f t="shared" si="126"/>
        <v>5,08651258984039-28,5820659344315i</v>
      </c>
      <c r="AD134" s="68">
        <f t="shared" si="127"/>
        <v>29.2572818730314</v>
      </c>
      <c r="AE134" s="31">
        <f t="shared" si="128"/>
        <v>-79.9091880983549</v>
      </c>
      <c r="AF134" s="32" t="str">
        <f t="shared" si="129"/>
        <v>748,315388573934</v>
      </c>
      <c r="AG134" s="32" t="str">
        <f t="shared" si="110"/>
        <v>1+4,5208008184709i</v>
      </c>
      <c r="AH134" s="32">
        <f t="shared" si="130"/>
        <v>4.63007991726786</v>
      </c>
      <c r="AI134" s="32">
        <f t="shared" si="131"/>
        <v>1.35310194979856</v>
      </c>
      <c r="AJ134" s="32" t="str">
        <f t="shared" si="111"/>
        <v>1+0,0142405225781833i</v>
      </c>
      <c r="AK134" s="32">
        <f t="shared" si="132"/>
        <v>1.00010139110157</v>
      </c>
      <c r="AL134" s="32">
        <f t="shared" si="133"/>
        <v>0.0142395600716483</v>
      </c>
      <c r="AM134" s="32" t="str">
        <f t="shared" si="112"/>
        <v>1-0,00242725749344847i</v>
      </c>
      <c r="AN134" s="32">
        <f t="shared" si="134"/>
        <v>1.00000294578513</v>
      </c>
      <c r="AO134" s="32">
        <f t="shared" si="135"/>
        <v>-0.00242725272667228</v>
      </c>
      <c r="AP134" s="30" t="str">
        <f t="shared" si="136"/>
        <v>36,772021052425-157,398934818422i</v>
      </c>
      <c r="AQ134" s="32">
        <f t="shared" si="137"/>
        <v>44.1708299954185</v>
      </c>
      <c r="AR134" s="31">
        <f t="shared" si="138"/>
        <v>-76.8502356172015</v>
      </c>
      <c r="AS134" t="str">
        <f t="shared" si="113"/>
        <v>-0,0000504684572142411</v>
      </c>
      <c r="AT134" t="str">
        <f t="shared" si="114"/>
        <v>0,000204071774446288i</v>
      </c>
      <c r="AU134">
        <f t="shared" si="139"/>
        <v>0.000204071774446288</v>
      </c>
      <c r="AV134">
        <f t="shared" si="140"/>
        <v>1.5707963267949</v>
      </c>
      <c r="AW134" t="str">
        <f t="shared" si="115"/>
        <v>1+0,0104481005469322i</v>
      </c>
      <c r="AX134">
        <f t="shared" si="141"/>
        <v>1.00005457991304</v>
      </c>
      <c r="AY134">
        <f t="shared" si="142"/>
        <v>0.0104477203905102</v>
      </c>
      <c r="AZ134" t="str">
        <f t="shared" si="116"/>
        <v>1+0,499508126148012i</v>
      </c>
      <c r="BA134">
        <f t="shared" si="143"/>
        <v>1.11781410265209</v>
      </c>
      <c r="BB134">
        <f t="shared" si="144"/>
        <v>0.463254032503539</v>
      </c>
      <c r="BC134" s="30" t="str">
        <f t="shared" si="145"/>
        <v>-0,120934955216056+0,24857092715755i</v>
      </c>
      <c r="BD134" s="32">
        <f t="shared" si="146"/>
        <v>-11.1683406107266</v>
      </c>
      <c r="BE134" s="31">
        <f t="shared" si="147"/>
        <v>115.94389062096</v>
      </c>
      <c r="BF134" s="30" t="str">
        <f t="shared" si="148"/>
        <v>6,48953345714161+4,72093001421801i</v>
      </c>
      <c r="BG134" s="68">
        <f t="shared" si="149"/>
        <v>18.0889412623048</v>
      </c>
      <c r="BH134" s="31">
        <f t="shared" si="150"/>
        <v>36.0347025226052</v>
      </c>
      <c r="BI134" s="30" t="str">
        <f t="shared" si="156"/>
        <v>34,677776442247+28,175488499779i</v>
      </c>
      <c r="BJ134" s="68">
        <f t="shared" si="151"/>
        <v>33.0024893846919</v>
      </c>
      <c r="BK134" s="31">
        <f t="shared" si="157"/>
        <v>39.0936550037586</v>
      </c>
      <c r="BL134" s="32">
        <f t="shared" si="152"/>
        <v>18.0889412623048</v>
      </c>
      <c r="BM134" s="31">
        <f t="shared" si="153"/>
        <v>36.0347025226052</v>
      </c>
      <c r="BO134">
        <f t="shared" si="154"/>
        <v>0</v>
      </c>
      <c r="BP134">
        <f t="shared" si="155"/>
        <v>0</v>
      </c>
    </row>
    <row r="135" spans="14:68">
      <c r="N135" s="7">
        <v>17</v>
      </c>
      <c r="O135" s="18">
        <f t="shared" si="158"/>
        <v>147.910838816821</v>
      </c>
      <c r="P135" s="86" t="str">
        <f t="shared" si="105"/>
        <v>163,636363636364</v>
      </c>
      <c r="Q135" s="4" t="str">
        <f t="shared" si="106"/>
        <v>1+5,677491023638i</v>
      </c>
      <c r="R135" s="4">
        <f t="shared" si="118"/>
        <v>5.76488545623329</v>
      </c>
      <c r="S135" s="4">
        <f t="shared" si="119"/>
        <v>1.39645043340683</v>
      </c>
      <c r="T135" s="4" t="str">
        <f t="shared" si="107"/>
        <v>1+0,0145722269606709i</v>
      </c>
      <c r="U135" s="4">
        <f t="shared" si="120"/>
        <v>1.00010616926334</v>
      </c>
      <c r="V135" s="4">
        <f t="shared" si="121"/>
        <v>0.0145711956222504</v>
      </c>
      <c r="W135" t="str">
        <f t="shared" si="108"/>
        <v>1-0,0139402681383969i</v>
      </c>
      <c r="X135" s="4">
        <f t="shared" si="122"/>
        <v>1.00009716081777</v>
      </c>
      <c r="Y135" s="4">
        <f t="shared" si="123"/>
        <v>-0.0139393652345706</v>
      </c>
      <c r="Z135" t="str">
        <f t="shared" si="109"/>
        <v>0,999999821407214+0,00288762697152507i</v>
      </c>
      <c r="AA135" s="4">
        <f t="shared" si="124"/>
        <v>1.00000399059403</v>
      </c>
      <c r="AB135" s="4">
        <f t="shared" si="125"/>
        <v>0.00288761946121753</v>
      </c>
      <c r="AC135" s="67" t="str">
        <f t="shared" si="126"/>
        <v>4,86167448499482-27,9713156419364i</v>
      </c>
      <c r="AD135" s="68">
        <f t="shared" si="127"/>
        <v>29.0635140973177</v>
      </c>
      <c r="AE135" s="31">
        <f t="shared" si="128"/>
        <v>-80.1399633268112</v>
      </c>
      <c r="AF135" s="32" t="str">
        <f t="shared" si="129"/>
        <v>748,315388573934</v>
      </c>
      <c r="AG135" s="32" t="str">
        <f t="shared" si="110"/>
        <v>1+4,62610379703837i</v>
      </c>
      <c r="AH135" s="32">
        <f t="shared" si="130"/>
        <v>4.73295218029644</v>
      </c>
      <c r="AI135" s="32">
        <f t="shared" si="131"/>
        <v>1.35790726326398</v>
      </c>
      <c r="AJ135" s="32" t="str">
        <f t="shared" si="111"/>
        <v>1+0,0145722269606709i</v>
      </c>
      <c r="AK135" s="32">
        <f t="shared" si="132"/>
        <v>1.00010616926334</v>
      </c>
      <c r="AL135" s="32">
        <f t="shared" si="133"/>
        <v>0.0145711956222504</v>
      </c>
      <c r="AM135" s="32" t="str">
        <f t="shared" si="112"/>
        <v>1-0,00248379558350677i</v>
      </c>
      <c r="AN135" s="32">
        <f t="shared" si="134"/>
        <v>1.00000308461549</v>
      </c>
      <c r="AO135" s="32">
        <f t="shared" si="135"/>
        <v>-0.00248379047581491</v>
      </c>
      <c r="AP135" s="30" t="str">
        <f t="shared" si="136"/>
        <v>35,2750231155578-154,139959152246i</v>
      </c>
      <c r="AQ135" s="32">
        <f t="shared" si="137"/>
        <v>43.9800001122574</v>
      </c>
      <c r="AR135" s="31">
        <f t="shared" si="138"/>
        <v>-77.1097978550303</v>
      </c>
      <c r="AS135" t="str">
        <f t="shared" si="113"/>
        <v>-0,0000504684572142411</v>
      </c>
      <c r="AT135" t="str">
        <f t="shared" si="114"/>
        <v>0,000208825216713185i</v>
      </c>
      <c r="AU135">
        <f t="shared" si="139"/>
        <v>0.000208825216713185</v>
      </c>
      <c r="AV135">
        <f t="shared" si="140"/>
        <v>1.5707963267949</v>
      </c>
      <c r="AW135" t="str">
        <f t="shared" si="115"/>
        <v>1+0,0106914680723204i</v>
      </c>
      <c r="AX135">
        <f t="shared" si="141"/>
        <v>1.00005715211159</v>
      </c>
      <c r="AY135">
        <f t="shared" si="142"/>
        <v>0.0106910607286325</v>
      </c>
      <c r="AZ135" t="str">
        <f t="shared" si="116"/>
        <v>1+0,511143165074551i</v>
      </c>
      <c r="BA135">
        <f t="shared" si="143"/>
        <v>1.12306159011981</v>
      </c>
      <c r="BB135">
        <f t="shared" si="144"/>
        <v>0.47252234993868</v>
      </c>
      <c r="BC135" s="30" t="str">
        <f t="shared" si="145"/>
        <v>-0,120934333114976+0,242970948750311i</v>
      </c>
      <c r="BD135" s="32">
        <f t="shared" si="146"/>
        <v>-11.3276831577093</v>
      </c>
      <c r="BE135" s="31">
        <f t="shared" si="147"/>
        <v>116.460983718821</v>
      </c>
      <c r="BF135" s="30" t="str">
        <f t="shared" si="148"/>
        <v>6,20827373765076+4,56393806564045i</v>
      </c>
      <c r="BG135" s="68">
        <f t="shared" si="149"/>
        <v>17.7358309396084</v>
      </c>
      <c r="BH135" s="31">
        <f t="shared" si="150"/>
        <v>36.3210203920102</v>
      </c>
      <c r="BI135" s="30" t="str">
        <f t="shared" si="156"/>
        <v>33,18557071946+27,2116190000227i</v>
      </c>
      <c r="BJ135" s="68">
        <f t="shared" si="151"/>
        <v>32.6523169545481</v>
      </c>
      <c r="BK135" s="31">
        <f t="shared" si="157"/>
        <v>39.351185863791</v>
      </c>
      <c r="BL135" s="32">
        <f t="shared" si="152"/>
        <v>17.7358309396084</v>
      </c>
      <c r="BM135" s="31">
        <f t="shared" si="153"/>
        <v>36.3210203920102</v>
      </c>
      <c r="BO135">
        <f t="shared" si="154"/>
        <v>0</v>
      </c>
      <c r="BP135">
        <f t="shared" si="155"/>
        <v>0</v>
      </c>
    </row>
    <row r="136" spans="14:68">
      <c r="N136" s="7">
        <v>18</v>
      </c>
      <c r="O136" s="18">
        <f t="shared" si="158"/>
        <v>151.356124843621</v>
      </c>
      <c r="P136" s="86" t="str">
        <f t="shared" si="105"/>
        <v>163,636363636364</v>
      </c>
      <c r="Q136" s="4" t="str">
        <f t="shared" si="106"/>
        <v>1+5,80973677822565i</v>
      </c>
      <c r="R136" s="4">
        <f t="shared" si="118"/>
        <v>5.89517102654942</v>
      </c>
      <c r="S136" s="4">
        <f t="shared" si="119"/>
        <v>1.40034174262954</v>
      </c>
      <c r="T136" s="4" t="str">
        <f t="shared" si="107"/>
        <v>1+0,0149116577307792i</v>
      </c>
      <c r="U136" s="4">
        <f t="shared" si="120"/>
        <v>1.00011117258847</v>
      </c>
      <c r="V136" s="4">
        <f t="shared" si="121"/>
        <v>0.0149105526383859</v>
      </c>
      <c r="W136" t="str">
        <f t="shared" si="108"/>
        <v>1-0,0142649786965362i</v>
      </c>
      <c r="X136" s="4">
        <f t="shared" si="122"/>
        <v>1.00010173963313</v>
      </c>
      <c r="Y136" s="4">
        <f t="shared" si="123"/>
        <v>-0.0142640112229711</v>
      </c>
      <c r="Z136" t="str">
        <f t="shared" si="109"/>
        <v>0,999999812990396+0,0029548884442825i</v>
      </c>
      <c r="AA136" s="4">
        <f t="shared" si="124"/>
        <v>1.00000417866454</v>
      </c>
      <c r="AB136" s="4">
        <f t="shared" si="125"/>
        <v>0.0029548803968448</v>
      </c>
      <c r="AC136" s="67" t="str">
        <f t="shared" si="126"/>
        <v>4,64635961340182-27,3719330407776i</v>
      </c>
      <c r="AD136" s="68">
        <f t="shared" si="127"/>
        <v>28.8694811558057</v>
      </c>
      <c r="AE136" s="31">
        <f t="shared" si="128"/>
        <v>-80.3659298099892</v>
      </c>
      <c r="AF136" s="32" t="str">
        <f t="shared" si="129"/>
        <v>748,315388573934</v>
      </c>
      <c r="AG136" s="32" t="str">
        <f t="shared" si="110"/>
        <v>1+4,73385959707275i</v>
      </c>
      <c r="AH136" s="32">
        <f t="shared" si="130"/>
        <v>4.83832891449081</v>
      </c>
      <c r="AI136" s="32">
        <f t="shared" si="131"/>
        <v>1.36261286051059</v>
      </c>
      <c r="AJ136" s="32" t="str">
        <f t="shared" si="111"/>
        <v>1+0,0149116577307792i</v>
      </c>
      <c r="AK136" s="32">
        <f t="shared" si="132"/>
        <v>1.00011117258847</v>
      </c>
      <c r="AL136" s="32">
        <f t="shared" si="133"/>
        <v>0.0149105526383859</v>
      </c>
      <c r="AM136" s="32" t="str">
        <f t="shared" si="112"/>
        <v>1-0,00254165061486036i</v>
      </c>
      <c r="AN136" s="32">
        <f t="shared" si="134"/>
        <v>1.00000322998871</v>
      </c>
      <c r="AO136" s="32">
        <f t="shared" si="135"/>
        <v>-0.00254164514187088</v>
      </c>
      <c r="AP136" s="30" t="str">
        <f t="shared" si="136"/>
        <v>33,8395092271481-150,934818833556i</v>
      </c>
      <c r="AQ136" s="32">
        <f t="shared" si="137"/>
        <v>43.7887793837376</v>
      </c>
      <c r="AR136" s="31">
        <f t="shared" si="138"/>
        <v>-77.363279820767</v>
      </c>
      <c r="AS136" t="str">
        <f t="shared" si="113"/>
        <v>-0,0000504684572142411</v>
      </c>
      <c r="AT136" t="str">
        <f t="shared" si="114"/>
        <v>0,000213689380874112i</v>
      </c>
      <c r="AU136">
        <f t="shared" si="139"/>
        <v>0.000213689380874112</v>
      </c>
      <c r="AV136">
        <f t="shared" si="140"/>
        <v>1.5707963267949</v>
      </c>
      <c r="AW136" t="str">
        <f t="shared" si="115"/>
        <v>1+0,0109405043555989i</v>
      </c>
      <c r="AX136">
        <f t="shared" si="141"/>
        <v>1.00005984552703</v>
      </c>
      <c r="AY136">
        <f t="shared" si="142"/>
        <v>0.0109400678803842</v>
      </c>
      <c r="AZ136" t="str">
        <f t="shared" si="116"/>
        <v>1+0,523049218872993i</v>
      </c>
      <c r="BA136">
        <f t="shared" si="143"/>
        <v>1.12853023236582</v>
      </c>
      <c r="BB136">
        <f t="shared" si="144"/>
        <v>0.481916499199138</v>
      </c>
      <c r="BC136" s="30" t="str">
        <f t="shared" si="145"/>
        <v>-0,120933681702037+0,237499796129189i</v>
      </c>
      <c r="BD136" s="32">
        <f t="shared" si="146"/>
        <v>-11.4855140755348</v>
      </c>
      <c r="BE136" s="31">
        <f t="shared" si="147"/>
        <v>116.984961764698</v>
      </c>
      <c r="BF136" s="30" t="str">
        <f t="shared" si="148"/>
        <v>5,93892714228616+4,4136980988487i</v>
      </c>
      <c r="BG136" s="68">
        <f t="shared" si="149"/>
        <v>17.3839670802709</v>
      </c>
      <c r="BH136" s="31">
        <f t="shared" si="150"/>
        <v>36.6190319547085</v>
      </c>
      <c r="BI136" s="30" t="str">
        <f t="shared" si="156"/>
        <v>31,7546522639366+26,2899798811314i</v>
      </c>
      <c r="BJ136" s="68">
        <f t="shared" si="151"/>
        <v>32.3032653082028</v>
      </c>
      <c r="BK136" s="31">
        <f t="shared" si="157"/>
        <v>39.6216819439307</v>
      </c>
      <c r="BL136" s="32">
        <f t="shared" si="152"/>
        <v>17.3839670802709</v>
      </c>
      <c r="BM136" s="31">
        <f t="shared" si="153"/>
        <v>36.6190319547085</v>
      </c>
      <c r="BO136">
        <f t="shared" si="154"/>
        <v>0</v>
      </c>
      <c r="BP136">
        <f t="shared" si="155"/>
        <v>0</v>
      </c>
    </row>
    <row r="137" spans="14:68">
      <c r="N137" s="7">
        <v>19</v>
      </c>
      <c r="O137" s="18">
        <f t="shared" si="158"/>
        <v>154.881661891248</v>
      </c>
      <c r="P137" s="86" t="str">
        <f t="shared" si="105"/>
        <v>163,636363636364</v>
      </c>
      <c r="Q137" s="4" t="str">
        <f t="shared" si="106"/>
        <v>1+5,94506293215406i</v>
      </c>
      <c r="R137" s="4">
        <f t="shared" si="118"/>
        <v>6.02857970564147</v>
      </c>
      <c r="S137" s="4">
        <f t="shared" si="119"/>
        <v>1.40414951845411</v>
      </c>
      <c r="T137" s="4" t="str">
        <f t="shared" si="107"/>
        <v>1+0,0152589948591954i</v>
      </c>
      <c r="U137" s="4">
        <f t="shared" si="120"/>
        <v>1.00011641168622</v>
      </c>
      <c r="V137" s="4">
        <f t="shared" si="121"/>
        <v>0.0152578107388058</v>
      </c>
      <c r="W137" t="str">
        <f t="shared" si="108"/>
        <v>1-0,0145972527351997i</v>
      </c>
      <c r="X137" s="4">
        <f t="shared" si="122"/>
        <v>1.00010653421894</v>
      </c>
      <c r="Y137" s="4">
        <f t="shared" si="123"/>
        <v>-0.0145962160745614</v>
      </c>
      <c r="Z137" t="str">
        <f t="shared" si="109"/>
        <v>0,999999804176905+0,00302371663800565i</v>
      </c>
      <c r="AA137" s="4">
        <f t="shared" si="124"/>
        <v>1.0000043755985</v>
      </c>
      <c r="AB137" s="4">
        <f t="shared" si="125"/>
        <v>0.00302370801502283</v>
      </c>
      <c r="AC137" s="67" t="str">
        <f t="shared" si="126"/>
        <v>4,44018958828143-26,7838183006131i</v>
      </c>
      <c r="AD137" s="68">
        <f t="shared" si="127"/>
        <v>28.6751946239717</v>
      </c>
      <c r="AE137" s="31">
        <f t="shared" si="128"/>
        <v>-80.5871803384788</v>
      </c>
      <c r="AF137" s="32" t="str">
        <f t="shared" si="129"/>
        <v>748,315388573934</v>
      </c>
      <c r="AG137" s="32" t="str">
        <f t="shared" si="110"/>
        <v>1+4,84412535212553i</v>
      </c>
      <c r="AH137" s="32">
        <f t="shared" si="130"/>
        <v>4.94626631178562</v>
      </c>
      <c r="AI137" s="32">
        <f t="shared" si="131"/>
        <v>1.36722040256685</v>
      </c>
      <c r="AJ137" s="32" t="str">
        <f t="shared" si="111"/>
        <v>1+0,0152589948591954i</v>
      </c>
      <c r="AK137" s="32">
        <f t="shared" si="132"/>
        <v>1.00011641168622</v>
      </c>
      <c r="AL137" s="32">
        <f t="shared" si="133"/>
        <v>0.0152578107388058</v>
      </c>
      <c r="AM137" s="32" t="str">
        <f t="shared" si="112"/>
        <v>1-0,00260085326301267i</v>
      </c>
      <c r="AN137" s="32">
        <f t="shared" si="134"/>
        <v>1.00000338221313</v>
      </c>
      <c r="AO137" s="32">
        <f t="shared" si="135"/>
        <v>-0.00260084739859985</v>
      </c>
      <c r="AP137" s="30" t="str">
        <f t="shared" si="136"/>
        <v>32,4631980376113-147,783518477894i</v>
      </c>
      <c r="AQ137" s="32">
        <f t="shared" si="137"/>
        <v>43.5971840732963</v>
      </c>
      <c r="AR137" s="31">
        <f t="shared" si="138"/>
        <v>-77.6107681504123</v>
      </c>
      <c r="AS137" t="str">
        <f t="shared" si="113"/>
        <v>-0,0000504684572142411</v>
      </c>
      <c r="AT137" t="str">
        <f t="shared" si="114"/>
        <v>0,000218666845973291i</v>
      </c>
      <c r="AU137">
        <f t="shared" si="139"/>
        <v>0.000218666845973291</v>
      </c>
      <c r="AV137">
        <f t="shared" si="140"/>
        <v>1.5707963267949</v>
      </c>
      <c r="AW137" t="str">
        <f t="shared" si="115"/>
        <v>1+0,0111953414391014i</v>
      </c>
      <c r="AX137">
        <f t="shared" si="141"/>
        <v>1.00006266587146</v>
      </c>
      <c r="AY137">
        <f t="shared" si="142"/>
        <v>0.0111948737490654</v>
      </c>
      <c r="AZ137" t="str">
        <f t="shared" si="116"/>
        <v>1+0,535232600290655i</v>
      </c>
      <c r="BA137">
        <f t="shared" si="143"/>
        <v>1.13422834403567</v>
      </c>
      <c r="BB137">
        <f t="shared" si="144"/>
        <v>0.49143482803228</v>
      </c>
      <c r="BC137" s="30" t="str">
        <f t="shared" si="145"/>
        <v>-0,120932999596472+0,232154568371813i</v>
      </c>
      <c r="BD137" s="32">
        <f t="shared" si="146"/>
        <v>-11.6417926106669</v>
      </c>
      <c r="BE137" s="31">
        <f t="shared" si="147"/>
        <v>117.515722533984</v>
      </c>
      <c r="BF137" s="30" t="str">
        <f t="shared" si="148"/>
        <v>5,68102033124+4,26985778509652i</v>
      </c>
      <c r="BG137" s="68">
        <f t="shared" si="149"/>
        <v>17.0334020133048</v>
      </c>
      <c r="BH137" s="31">
        <f t="shared" si="150"/>
        <v>36.928542195505</v>
      </c>
      <c r="BI137" s="30" t="str">
        <f t="shared" si="156"/>
        <v>30,3827470295207+25,4083839088427i</v>
      </c>
      <c r="BJ137" s="68">
        <f t="shared" si="151"/>
        <v>31.9553914626294</v>
      </c>
      <c r="BK137" s="31">
        <f t="shared" si="157"/>
        <v>39.9049543835714</v>
      </c>
      <c r="BL137" s="32">
        <f t="shared" si="152"/>
        <v>17.0334020133048</v>
      </c>
      <c r="BM137" s="31">
        <f t="shared" si="153"/>
        <v>36.928542195505</v>
      </c>
      <c r="BO137">
        <f t="shared" si="154"/>
        <v>0</v>
      </c>
      <c r="BP137">
        <f t="shared" si="155"/>
        <v>0</v>
      </c>
    </row>
    <row r="138" spans="14:68">
      <c r="N138" s="7">
        <v>20</v>
      </c>
      <c r="O138" s="18">
        <f t="shared" si="158"/>
        <v>158.489319246112</v>
      </c>
      <c r="P138" s="86" t="str">
        <f t="shared" si="105"/>
        <v>163,636363636364</v>
      </c>
      <c r="Q138" s="4" t="str">
        <f t="shared" si="106"/>
        <v>1+6,08354123714136i</v>
      </c>
      <c r="R138" s="4">
        <f t="shared" si="118"/>
        <v>6.16518239665295</v>
      </c>
      <c r="S138" s="4">
        <f t="shared" si="119"/>
        <v>1.40787533791568</v>
      </c>
      <c r="T138" s="4" t="str">
        <f t="shared" si="107"/>
        <v>1+0,0156144225086628i</v>
      </c>
      <c r="U138" s="4">
        <f t="shared" si="120"/>
        <v>1.00012189766562</v>
      </c>
      <c r="V138" s="4">
        <f t="shared" si="121"/>
        <v>0.0156131537091577</v>
      </c>
      <c r="W138" t="str">
        <f t="shared" si="108"/>
        <v>1-0,014937266430481i</v>
      </c>
      <c r="X138" s="4">
        <f t="shared" si="122"/>
        <v>1.00011155474198</v>
      </c>
      <c r="Y138" s="4">
        <f t="shared" si="123"/>
        <v>-0.0149361556352858</v>
      </c>
      <c r="Z138" t="str">
        <f t="shared" si="109"/>
        <v>0,999999794948046+0,00309414804631392i</v>
      </c>
      <c r="AA138" s="4">
        <f t="shared" si="124"/>
        <v>1.00000458181364</v>
      </c>
      <c r="AB138" s="4">
        <f t="shared" si="125"/>
        <v>0.00309413880662365</v>
      </c>
      <c r="AC138" s="67" t="str">
        <f t="shared" si="126"/>
        <v>4,24279890868012-26,2068643871517i</v>
      </c>
      <c r="AD138" s="68">
        <f t="shared" si="127"/>
        <v>28.4806656310417</v>
      </c>
      <c r="AE138" s="31">
        <f t="shared" si="128"/>
        <v>-80.803806905599</v>
      </c>
      <c r="AF138" s="32" t="str">
        <f t="shared" si="129"/>
        <v>748,315388573934</v>
      </c>
      <c r="AG138" s="32" t="str">
        <f t="shared" si="110"/>
        <v>1+4,95695952655962i</v>
      </c>
      <c r="AH138" s="32">
        <f t="shared" si="130"/>
        <v>5.056821901941</v>
      </c>
      <c r="AI138" s="32">
        <f t="shared" si="131"/>
        <v>1.37173154952167</v>
      </c>
      <c r="AJ138" s="32" t="str">
        <f t="shared" si="111"/>
        <v>1+0,0156144225086628i</v>
      </c>
      <c r="AK138" s="32">
        <f t="shared" si="132"/>
        <v>1.00012189766562</v>
      </c>
      <c r="AL138" s="32">
        <f t="shared" si="133"/>
        <v>0.0156131537091577</v>
      </c>
      <c r="AM138" s="32" t="str">
        <f t="shared" si="112"/>
        <v>1-0,00266143491799141i</v>
      </c>
      <c r="AN138" s="32">
        <f t="shared" si="134"/>
        <v>1.00000354161164</v>
      </c>
      <c r="AO138" s="32">
        <f t="shared" si="135"/>
        <v>-0.00266142863416107</v>
      </c>
      <c r="AP138" s="30" t="str">
        <f t="shared" si="136"/>
        <v>31,1438720967583-144,685993541874i</v>
      </c>
      <c r="AQ138" s="32">
        <f t="shared" si="137"/>
        <v>43.405229846064</v>
      </c>
      <c r="AR138" s="31">
        <f t="shared" si="138"/>
        <v>-77.8523492283216</v>
      </c>
      <c r="AS138" t="str">
        <f t="shared" si="113"/>
        <v>-0,0000504684572142411</v>
      </c>
      <c r="AT138" t="str">
        <f t="shared" si="114"/>
        <v>0,000223760251128605i</v>
      </c>
      <c r="AU138">
        <f t="shared" si="139"/>
        <v>0.000223760251128605</v>
      </c>
      <c r="AV138">
        <f t="shared" si="140"/>
        <v>1.5707963267949</v>
      </c>
      <c r="AW138" t="str">
        <f t="shared" si="115"/>
        <v>1+0,0114561144408228i</v>
      </c>
      <c r="AX138">
        <f t="shared" si="141"/>
        <v>1.00006561912611</v>
      </c>
      <c r="AY138">
        <f t="shared" si="142"/>
        <v>0.0114556133036962</v>
      </c>
      <c r="AZ138" t="str">
        <f t="shared" si="116"/>
        <v>1+0,547699769117636i</v>
      </c>
      <c r="BA138">
        <f t="shared" si="143"/>
        <v>1.14016447808705</v>
      </c>
      <c r="BB138">
        <f t="shared" si="144"/>
        <v>0.501075483568181</v>
      </c>
      <c r="BC138" s="30" t="str">
        <f t="shared" si="145"/>
        <v>-0,12093228535251+0,226932431319632i</v>
      </c>
      <c r="BD138" s="32">
        <f t="shared" si="146"/>
        <v>-11.7964780522167</v>
      </c>
      <c r="BE138" s="31">
        <f t="shared" si="147"/>
        <v>118.053152131898</v>
      </c>
      <c r="BF138" s="30" t="str">
        <f t="shared" si="148"/>
        <v>5,43409608432239+4,13208467420862i</v>
      </c>
      <c r="BG138" s="68">
        <f t="shared" si="149"/>
        <v>16.684187578825</v>
      </c>
      <c r="BH138" s="31">
        <f t="shared" si="150"/>
        <v>37.249345226299</v>
      </c>
      <c r="BI138" s="30" t="str">
        <f t="shared" si="156"/>
        <v>29,0676446649668+24,5647624731423i</v>
      </c>
      <c r="BJ138" s="68">
        <f t="shared" si="151"/>
        <v>31.6087517938473</v>
      </c>
      <c r="BK138" s="31">
        <f t="shared" si="157"/>
        <v>40.2008029035764</v>
      </c>
      <c r="BL138" s="32">
        <f t="shared" si="152"/>
        <v>16.684187578825</v>
      </c>
      <c r="BM138" s="31">
        <f t="shared" si="153"/>
        <v>37.249345226299</v>
      </c>
      <c r="BO138">
        <f t="shared" si="154"/>
        <v>0</v>
      </c>
      <c r="BP138">
        <f t="shared" si="155"/>
        <v>0</v>
      </c>
    </row>
    <row r="139" spans="14:68">
      <c r="N139" s="7">
        <v>21</v>
      </c>
      <c r="O139" s="18">
        <f t="shared" si="158"/>
        <v>162.181009735893</v>
      </c>
      <c r="P139" s="86" t="str">
        <f t="shared" si="105"/>
        <v>163,636363636364</v>
      </c>
      <c r="Q139" s="4" t="str">
        <f t="shared" si="106"/>
        <v>1+6,2252451162177i</v>
      </c>
      <c r="R139" s="4">
        <f t="shared" si="118"/>
        <v>6.30505168551316</v>
      </c>
      <c r="S139" s="4">
        <f t="shared" si="119"/>
        <v>1.41152076251749</v>
      </c>
      <c r="T139" s="4" t="str">
        <f t="shared" si="107"/>
        <v>1+0,0159781291316254i</v>
      </c>
      <c r="U139" s="4">
        <f t="shared" si="120"/>
        <v>1.00012764215901</v>
      </c>
      <c r="V139" s="4">
        <f t="shared" si="121"/>
        <v>0.0159767695978323</v>
      </c>
      <c r="W139" t="str">
        <f t="shared" si="108"/>
        <v>1-0,0152852000621417i</v>
      </c>
      <c r="X139" s="4">
        <f t="shared" si="122"/>
        <v>1.00011681184797</v>
      </c>
      <c r="Y139" s="4">
        <f t="shared" si="123"/>
        <v>-0.0152840098311539</v>
      </c>
      <c r="Z139" t="str">
        <f t="shared" si="109"/>
        <v>0,999999785284246+0,0031662200128722i</v>
      </c>
      <c r="AA139" s="4">
        <f t="shared" si="124"/>
        <v>1.00000479774734</v>
      </c>
      <c r="AB139" s="4">
        <f t="shared" si="125"/>
        <v>0.00316621011236826</v>
      </c>
      <c r="AC139" s="67" t="str">
        <f t="shared" si="126"/>
        <v>4,05383471025304-25,6409577449406i</v>
      </c>
      <c r="AD139" s="68">
        <f t="shared" si="127"/>
        <v>28.2859048759673</v>
      </c>
      <c r="AE139" s="31">
        <f t="shared" si="128"/>
        <v>-81.0159006529832</v>
      </c>
      <c r="AF139" s="32" t="str">
        <f t="shared" si="129"/>
        <v>748,315388573934</v>
      </c>
      <c r="AG139" s="32" t="str">
        <f t="shared" si="110"/>
        <v>1+5,07242194654775i</v>
      </c>
      <c r="AH139" s="32">
        <f t="shared" si="130"/>
        <v>5.17005458422049</v>
      </c>
      <c r="AI139" s="32">
        <f t="shared" si="131"/>
        <v>1.3761479584669</v>
      </c>
      <c r="AJ139" s="32" t="str">
        <f t="shared" si="111"/>
        <v>1+0,0159781291316254i</v>
      </c>
      <c r="AK139" s="32">
        <f t="shared" si="132"/>
        <v>1.00012764215901</v>
      </c>
      <c r="AL139" s="32">
        <f t="shared" si="133"/>
        <v>0.0159767695978323</v>
      </c>
      <c r="AM139" s="32" t="str">
        <f t="shared" si="112"/>
        <v>1-0,0027234277009919i</v>
      </c>
      <c r="AN139" s="32">
        <f t="shared" si="134"/>
        <v>1.00000370852234</v>
      </c>
      <c r="AO139" s="32">
        <f t="shared" si="135"/>
        <v>-0.00272342096774772</v>
      </c>
      <c r="AP139" s="30" t="str">
        <f t="shared" si="136"/>
        <v>29,8793779129469-141,64211522333i</v>
      </c>
      <c r="AQ139" s="32">
        <f t="shared" si="137"/>
        <v>43.2129317862101</v>
      </c>
      <c r="AR139" s="31">
        <f t="shared" si="138"/>
        <v>-78.0881090647784</v>
      </c>
      <c r="AS139" t="str">
        <f t="shared" si="113"/>
        <v>-0,0000504684572142411</v>
      </c>
      <c r="AT139" t="str">
        <f t="shared" si="114"/>
        <v>0,000228972296930882i</v>
      </c>
      <c r="AU139">
        <f t="shared" si="139"/>
        <v>0.000228972296930882</v>
      </c>
      <c r="AV139">
        <f t="shared" si="140"/>
        <v>1.5707963267949</v>
      </c>
      <c r="AW139" t="str">
        <f t="shared" si="115"/>
        <v>1+0,0117229616260603i</v>
      </c>
      <c r="AX139">
        <f t="shared" si="141"/>
        <v>1.000068711554</v>
      </c>
      <c r="AY139">
        <f t="shared" si="142"/>
        <v>0.0117224246499472</v>
      </c>
      <c r="AZ139" t="str">
        <f t="shared" si="116"/>
        <v>1+0,56045733561186i</v>
      </c>
      <c r="BA139">
        <f t="shared" si="143"/>
        <v>1.14634742772039</v>
      </c>
      <c r="BB139">
        <f t="shared" si="144"/>
        <v>0.510836408431444</v>
      </c>
      <c r="BC139" s="30" t="str">
        <f t="shared" si="145"/>
        <v>-0,120931537456309+0,221830616074993i</v>
      </c>
      <c r="BD139" s="32">
        <f t="shared" si="146"/>
        <v>-11.9495298228499</v>
      </c>
      <c r="BE139" s="31">
        <f t="shared" si="147"/>
        <v>118.597124766641</v>
      </c>
      <c r="BF139" s="30" t="str">
        <f t="shared" si="148"/>
        <v>5,19771298920839+4,00006509318954i</v>
      </c>
      <c r="BG139" s="68">
        <f t="shared" si="149"/>
        <v>16.3363750531174</v>
      </c>
      <c r="BH139" s="31">
        <f t="shared" si="150"/>
        <v>37.5812241136575</v>
      </c>
      <c r="BI139" s="30" t="str">
        <f t="shared" si="156"/>
        <v>27,8071985729057+23,7571595728875i</v>
      </c>
      <c r="BJ139" s="68">
        <f t="shared" si="151"/>
        <v>31.2634019633602</v>
      </c>
      <c r="BK139" s="31">
        <f t="shared" si="157"/>
        <v>40.5090157018623</v>
      </c>
      <c r="BL139" s="32">
        <f t="shared" si="152"/>
        <v>16.3363750531174</v>
      </c>
      <c r="BM139" s="31">
        <f t="shared" si="153"/>
        <v>37.5812241136575</v>
      </c>
      <c r="BO139">
        <f t="shared" si="154"/>
        <v>0</v>
      </c>
      <c r="BP139">
        <f t="shared" si="155"/>
        <v>0</v>
      </c>
    </row>
    <row r="140" spans="14:68">
      <c r="N140" s="7">
        <v>22</v>
      </c>
      <c r="O140" s="18">
        <f t="shared" si="158"/>
        <v>165.958690743756</v>
      </c>
      <c r="P140" s="86" t="str">
        <f t="shared" si="105"/>
        <v>163,636363636364</v>
      </c>
      <c r="Q140" s="4" t="str">
        <f t="shared" si="106"/>
        <v>1+6,37024970265558i</v>
      </c>
      <c r="R140" s="4">
        <f t="shared" si="118"/>
        <v>6.44826188008703</v>
      </c>
      <c r="S140" s="4">
        <f t="shared" si="119"/>
        <v>1.41508733735915</v>
      </c>
      <c r="T140" s="4" t="str">
        <f t="shared" si="107"/>
        <v>1+0,0163503075701493i</v>
      </c>
      <c r="U140" s="4">
        <f t="shared" si="120"/>
        <v>1.00013365734668</v>
      </c>
      <c r="V140" s="4">
        <f t="shared" si="121"/>
        <v>0.0163488508139582</v>
      </c>
      <c r="W140" t="str">
        <f t="shared" si="108"/>
        <v>1-0,015641238109199i</v>
      </c>
      <c r="X140" s="4">
        <f t="shared" si="122"/>
        <v>1.00012231668411</v>
      </c>
      <c r="Y140" s="4">
        <f t="shared" si="123"/>
        <v>-0.015639962762142</v>
      </c>
      <c r="Z140" t="str">
        <f t="shared" si="109"/>
        <v>0,999999775165004+0,00323997075119121i</v>
      </c>
      <c r="AA140" s="4">
        <f t="shared" si="124"/>
        <v>1.00000502385764</v>
      </c>
      <c r="AB140" s="4">
        <f t="shared" si="125"/>
        <v>0.00323996014261298</v>
      </c>
      <c r="AC140" s="67" t="str">
        <f t="shared" si="126"/>
        <v>3,87295650226323-25,0859789412907i</v>
      </c>
      <c r="AD140" s="68">
        <f t="shared" si="127"/>
        <v>28.0909226431058</v>
      </c>
      <c r="AE140" s="31">
        <f t="shared" si="128"/>
        <v>-81.2235518215306</v>
      </c>
      <c r="AF140" s="32" t="str">
        <f t="shared" si="129"/>
        <v>748,315388573934</v>
      </c>
      <c r="AG140" s="32" t="str">
        <f t="shared" si="110"/>
        <v>1+5,19057383179343i</v>
      </c>
      <c r="AH140" s="32">
        <f t="shared" si="130"/>
        <v>5.28602465973237</v>
      </c>
      <c r="AI140" s="32">
        <f t="shared" si="131"/>
        <v>1.38047128158764</v>
      </c>
      <c r="AJ140" s="32" t="str">
        <f t="shared" si="111"/>
        <v>1+0,0163503075701493i</v>
      </c>
      <c r="AK140" s="32">
        <f t="shared" si="132"/>
        <v>1.00013365734668</v>
      </c>
      <c r="AL140" s="32">
        <f t="shared" si="133"/>
        <v>0.0163488508139582</v>
      </c>
      <c r="AM140" s="32" t="str">
        <f t="shared" si="112"/>
        <v>1-0,0027868644814083i</v>
      </c>
      <c r="AN140" s="32">
        <f t="shared" si="134"/>
        <v>1.00000388329928</v>
      </c>
      <c r="AO140" s="32">
        <f t="shared" si="135"/>
        <v>-0.00278685726660869</v>
      </c>
      <c r="AP140" s="30" t="str">
        <f t="shared" si="136"/>
        <v>28,6676258071708-138,651695148995i</v>
      </c>
      <c r="AQ140" s="32">
        <f t="shared" si="137"/>
        <v>43.0203044142859</v>
      </c>
      <c r="AR140" s="31">
        <f t="shared" si="138"/>
        <v>-78.3181331819409</v>
      </c>
      <c r="AS140" t="str">
        <f t="shared" si="113"/>
        <v>-0,0000504684572142411</v>
      </c>
      <c r="AT140" t="str">
        <f t="shared" si="114"/>
        <v>0,0002343057468758i</v>
      </c>
      <c r="AU140">
        <f t="shared" si="139"/>
        <v>0.0002343057468758</v>
      </c>
      <c r="AV140">
        <f t="shared" si="140"/>
        <v>1.5707963267949</v>
      </c>
      <c r="AW140" t="str">
        <f t="shared" si="115"/>
        <v>1+0,0119960244807237i</v>
      </c>
      <c r="AX140">
        <f t="shared" si="141"/>
        <v>1.00007194971329</v>
      </c>
      <c r="AY140">
        <f t="shared" si="142"/>
        <v>0.0119954491026878</v>
      </c>
      <c r="AZ140" t="str">
        <f t="shared" si="116"/>
        <v>1+0,573512064003961i</v>
      </c>
      <c r="BA140">
        <f t="shared" si="143"/>
        <v>1.15278622803974</v>
      </c>
      <c r="BB140">
        <f t="shared" si="144"/>
        <v>0.520715337436974</v>
      </c>
      <c r="BC140" s="30" t="str">
        <f t="shared" si="145"/>
        <v>-0,120930754322762+0,216846417532765i</v>
      </c>
      <c r="BD140" s="32">
        <f t="shared" si="146"/>
        <v>-12.1009075739729</v>
      </c>
      <c r="BE140" s="31">
        <f t="shared" si="147"/>
        <v>119.147502555921</v>
      </c>
      <c r="BF140" s="30" t="str">
        <f t="shared" si="148"/>
        <v>4,97144511244334+3,87350309907122i</v>
      </c>
      <c r="BG140" s="68">
        <f t="shared" si="149"/>
        <v>15.9900150691329</v>
      </c>
      <c r="BH140" s="31">
        <f t="shared" si="150"/>
        <v>37.9239507343906</v>
      </c>
      <c r="BI140" s="30" t="str">
        <f t="shared" si="156"/>
        <v>26,5993257644008+22,9837260379524i</v>
      </c>
      <c r="BJ140" s="68">
        <f t="shared" si="151"/>
        <v>30.919396840313</v>
      </c>
      <c r="BK140" s="31">
        <f t="shared" si="157"/>
        <v>40.8293693739803</v>
      </c>
      <c r="BL140" s="32">
        <f t="shared" si="152"/>
        <v>15.9900150691329</v>
      </c>
      <c r="BM140" s="31">
        <f t="shared" si="153"/>
        <v>37.9239507343906</v>
      </c>
      <c r="BO140">
        <f t="shared" si="154"/>
        <v>0</v>
      </c>
      <c r="BP140">
        <f t="shared" si="155"/>
        <v>0</v>
      </c>
    </row>
    <row r="141" spans="14:68">
      <c r="N141" s="7">
        <v>23</v>
      </c>
      <c r="O141" s="18">
        <f t="shared" si="158"/>
        <v>169.824365246174</v>
      </c>
      <c r="P141" s="86" t="str">
        <f t="shared" si="105"/>
        <v>163,636363636364</v>
      </c>
      <c r="Q141" s="4" t="str">
        <f t="shared" si="106"/>
        <v>1+6,51863187980599i</v>
      </c>
      <c r="R141" s="4">
        <f t="shared" si="118"/>
        <v>6.59488905019811</v>
      </c>
      <c r="S141" s="4">
        <f t="shared" si="119"/>
        <v>1.41857659035277</v>
      </c>
      <c r="T141" s="4" t="str">
        <f t="shared" si="107"/>
        <v>1+0,0167311551581687i</v>
      </c>
      <c r="U141" s="4">
        <f t="shared" si="120"/>
        <v>1.00013995598262</v>
      </c>
      <c r="V141" s="4">
        <f t="shared" si="121"/>
        <v>0.016729594227584</v>
      </c>
      <c r="W141" t="str">
        <f t="shared" si="108"/>
        <v>1-0,0160055693477379i</v>
      </c>
      <c r="X141" s="4">
        <f t="shared" si="122"/>
        <v>1.00012808092271</v>
      </c>
      <c r="Y141" s="4">
        <f t="shared" si="123"/>
        <v>-0.0160042027981972</v>
      </c>
      <c r="Z141" t="str">
        <f t="shared" si="109"/>
        <v>0,999999764568857+0,00331543936488857i</v>
      </c>
      <c r="AA141" s="4">
        <f t="shared" si="124"/>
        <v>1.00000526062414</v>
      </c>
      <c r="AB141" s="4">
        <f t="shared" si="125"/>
        <v>0.00331542799759543</v>
      </c>
      <c r="AC141" s="67" t="str">
        <f t="shared" si="126"/>
        <v>3,69983589313453-24,5418032727134i</v>
      </c>
      <c r="AD141" s="68">
        <f t="shared" si="127"/>
        <v>27.8957288175917</v>
      </c>
      <c r="AE141" s="31">
        <f t="shared" si="128"/>
        <v>-81.4268497074152</v>
      </c>
      <c r="AF141" s="32" t="str">
        <f t="shared" si="129"/>
        <v>748,315388573934</v>
      </c>
      <c r="AG141" s="32" t="str">
        <f t="shared" si="110"/>
        <v>1+5,31147782799006i</v>
      </c>
      <c r="AH141" s="32">
        <f t="shared" si="130"/>
        <v>5.40479386445311</v>
      </c>
      <c r="AI141" s="32">
        <f t="shared" si="131"/>
        <v>1.38470316439401</v>
      </c>
      <c r="AJ141" s="32" t="str">
        <f t="shared" si="111"/>
        <v>1+0,0167311551581687i</v>
      </c>
      <c r="AK141" s="32">
        <f t="shared" si="132"/>
        <v>1.00013995598262</v>
      </c>
      <c r="AL141" s="32">
        <f t="shared" si="133"/>
        <v>0.016729594227584</v>
      </c>
      <c r="AM141" s="32" t="str">
        <f t="shared" si="112"/>
        <v>1-0,00285177889426124i</v>
      </c>
      <c r="AN141" s="32">
        <f t="shared" si="134"/>
        <v>1.00000406631316</v>
      </c>
      <c r="AO141" s="32">
        <f t="shared" si="135"/>
        <v>-0.00285177116346587</v>
      </c>
      <c r="AP141" s="30" t="str">
        <f t="shared" si="136"/>
        <v>27,5065895828134-135,714489850646i</v>
      </c>
      <c r="AQ141" s="32">
        <f t="shared" si="137"/>
        <v>42.8273617045149</v>
      </c>
      <c r="AR141" s="31">
        <f t="shared" si="138"/>
        <v>-78.5425065077834</v>
      </c>
      <c r="AS141" t="str">
        <f t="shared" si="113"/>
        <v>-0,0000504684572142411</v>
      </c>
      <c r="AT141" t="str">
        <f t="shared" si="114"/>
        <v>0,000239763428829114i</v>
      </c>
      <c r="AU141">
        <f t="shared" si="139"/>
        <v>0.000239763428829114</v>
      </c>
      <c r="AV141">
        <f t="shared" si="140"/>
        <v>1.5707963267949</v>
      </c>
      <c r="AW141" t="str">
        <f t="shared" si="115"/>
        <v>1+0,0122754477863529i</v>
      </c>
      <c r="AX141">
        <f t="shared" si="141"/>
        <v>1.00007534047108</v>
      </c>
      <c r="AY141">
        <f t="shared" si="142"/>
        <v>0.012274831260188</v>
      </c>
      <c r="AZ141" t="str">
        <f t="shared" si="116"/>
        <v>1+0,586870876083722i</v>
      </c>
      <c r="BA141">
        <f t="shared" si="143"/>
        <v>1.15949015743786</v>
      </c>
      <c r="BB141">
        <f t="shared" si="144"/>
        <v>0.530709794924267</v>
      </c>
      <c r="BC141" s="30" t="str">
        <f t="shared" si="145"/>
        <v>-0,120929934292138+0,211977192945817i</v>
      </c>
      <c r="BD141" s="32">
        <f t="shared" si="146"/>
        <v>-12.2505712849097</v>
      </c>
      <c r="BE141" s="31">
        <f t="shared" si="147"/>
        <v>119.70413536997</v>
      </c>
      <c r="BF141" s="30" t="str">
        <f t="shared" si="148"/>
        <v>4,7548816561298+3,75211948416665i</v>
      </c>
      <c r="BG141" s="68">
        <f t="shared" si="149"/>
        <v>15.645157532682</v>
      </c>
      <c r="BH141" s="31">
        <f t="shared" si="150"/>
        <v>38.2772856625548</v>
      </c>
      <c r="BI141" s="30" t="str">
        <f t="shared" si="156"/>
        <v>25,4420065297631+22,2427139874071i</v>
      </c>
      <c r="BJ141" s="68">
        <f t="shared" si="151"/>
        <v>30.5767904196051</v>
      </c>
      <c r="BK141" s="31">
        <f t="shared" si="157"/>
        <v>41.1616288621866</v>
      </c>
      <c r="BL141" s="32">
        <f t="shared" si="152"/>
        <v>15.645157532682</v>
      </c>
      <c r="BM141" s="31">
        <f t="shared" si="153"/>
        <v>38.2772856625548</v>
      </c>
      <c r="BO141">
        <f t="shared" si="154"/>
        <v>0</v>
      </c>
      <c r="BP141">
        <f t="shared" si="155"/>
        <v>0</v>
      </c>
    </row>
    <row r="142" spans="14:68">
      <c r="N142" s="7">
        <v>24</v>
      </c>
      <c r="O142" s="18">
        <f t="shared" si="158"/>
        <v>173.780082874938</v>
      </c>
      <c r="P142" s="86" t="str">
        <f t="shared" si="105"/>
        <v>163,636363636364</v>
      </c>
      <c r="Q142" s="4" t="str">
        <f t="shared" si="106"/>
        <v>1+6,67047032186341i</v>
      </c>
      <c r="R142" s="4">
        <f t="shared" si="118"/>
        <v>6.74501106854989</v>
      </c>
      <c r="S142" s="4">
        <f t="shared" si="119"/>
        <v>1.42199003152186</v>
      </c>
      <c r="T142" s="4" t="str">
        <f t="shared" si="107"/>
        <v>1+0,0171208738261161i</v>
      </c>
      <c r="U142" s="4">
        <f t="shared" si="120"/>
        <v>1.00014655142163</v>
      </c>
      <c r="V142" s="4">
        <f t="shared" si="121"/>
        <v>0.0171192012720967</v>
      </c>
      <c r="W142" t="str">
        <f t="shared" si="108"/>
        <v>1-0,0163783869510039i</v>
      </c>
      <c r="X142" s="4">
        <f t="shared" si="122"/>
        <v>1.0001341167859</v>
      </c>
      <c r="Y142" s="4">
        <f t="shared" si="123"/>
        <v>-0.0163769226773944</v>
      </c>
      <c r="Z142" t="str">
        <f t="shared" si="109"/>
        <v>0,999999753473329+0,00339266586842224i</v>
      </c>
      <c r="AA142" s="4">
        <f t="shared" si="124"/>
        <v>1.00000550854903</v>
      </c>
      <c r="AB142" s="4">
        <f t="shared" si="125"/>
        <v>0.00339265368815181</v>
      </c>
      <c r="AC142" s="67" t="str">
        <f t="shared" si="126"/>
        <v>3,53415630668844-24,0083013352554i</v>
      </c>
      <c r="AD142" s="68">
        <f t="shared" si="127"/>
        <v>27.7003329003853</v>
      </c>
      <c r="AE142" s="31">
        <f t="shared" si="128"/>
        <v>-81.6258826228587</v>
      </c>
      <c r="AF142" s="32" t="str">
        <f t="shared" si="129"/>
        <v>748,315388573934</v>
      </c>
      <c r="AG142" s="32" t="str">
        <f t="shared" si="110"/>
        <v>1+5,43519804003685i</v>
      </c>
      <c r="AH142" s="32">
        <f t="shared" si="130"/>
        <v>5.52642540295447</v>
      </c>
      <c r="AI142" s="32">
        <f t="shared" si="131"/>
        <v>1.38884524408767</v>
      </c>
      <c r="AJ142" s="32" t="str">
        <f t="shared" si="111"/>
        <v>1+0,0171208738261161i</v>
      </c>
      <c r="AK142" s="32">
        <f t="shared" si="132"/>
        <v>1.00014655142163</v>
      </c>
      <c r="AL142" s="32">
        <f t="shared" si="133"/>
        <v>0.0171192012720967</v>
      </c>
      <c r="AM142" s="32" t="str">
        <f t="shared" si="112"/>
        <v>1-0,0029182053580317i</v>
      </c>
      <c r="AN142" s="32">
        <f t="shared" si="134"/>
        <v>1.00000425795219</v>
      </c>
      <c r="AO142" s="32">
        <f t="shared" si="135"/>
        <v>-0.00291819707433712</v>
      </c>
      <c r="AP142" s="30" t="str">
        <f t="shared" si="136"/>
        <v>26,3943060305071-132,830205031664i</v>
      </c>
      <c r="AQ142" s="32">
        <f t="shared" si="137"/>
        <v>42.6341171019812</v>
      </c>
      <c r="AR142" s="31">
        <f t="shared" si="138"/>
        <v>-78.7613132776613</v>
      </c>
      <c r="AS142" t="str">
        <f t="shared" si="113"/>
        <v>-0,0000504684572142411</v>
      </c>
      <c r="AT142" t="str">
        <f t="shared" si="114"/>
        <v>0,000245348236526039i</v>
      </c>
      <c r="AU142">
        <f t="shared" si="139"/>
        <v>0.000245348236526039</v>
      </c>
      <c r="AV142">
        <f t="shared" si="140"/>
        <v>1.5707963267949</v>
      </c>
      <c r="AW142" t="str">
        <f t="shared" si="115"/>
        <v>1+0,0125613796968833i</v>
      </c>
      <c r="AX142">
        <f t="shared" si="141"/>
        <v>1.00007889101805</v>
      </c>
      <c r="AY142">
        <f t="shared" si="142"/>
        <v>0.01256071908001</v>
      </c>
      <c r="AZ142" t="str">
        <f t="shared" si="116"/>
        <v>1+0,600540854870142i</v>
      </c>
      <c r="BA142">
        <f t="shared" si="143"/>
        <v>1.16646873870163</v>
      </c>
      <c r="BB142">
        <f t="shared" si="144"/>
        <v>0.540817092783624</v>
      </c>
      <c r="BC142" s="30" t="str">
        <f t="shared" si="145"/>
        <v>-0,120929075626581+0,207220360523501i</v>
      </c>
      <c r="BD142" s="32">
        <f t="shared" si="146"/>
        <v>-12.3984813657396</v>
      </c>
      <c r="BE142" s="31">
        <f t="shared" si="147"/>
        <v>120.266860714103</v>
      </c>
      <c r="BF142" s="30" t="str">
        <f t="shared" si="148"/>
        <v>4,54762660296079+3,63565083185523i</v>
      </c>
      <c r="BG142" s="68">
        <f t="shared" si="149"/>
        <v>15.3018515346457</v>
      </c>
      <c r="BH142" s="31">
        <f t="shared" si="150"/>
        <v>38.6409780912441</v>
      </c>
      <c r="BI142" s="30" t="str">
        <f t="shared" si="156"/>
        <v>24,3332839449977+21,5324715211777i</v>
      </c>
      <c r="BJ142" s="68">
        <f t="shared" si="151"/>
        <v>30.2356357362416</v>
      </c>
      <c r="BK142" s="31">
        <f t="shared" si="157"/>
        <v>41.5055474364415</v>
      </c>
      <c r="BL142" s="32">
        <f t="shared" si="152"/>
        <v>15.3018515346457</v>
      </c>
      <c r="BM142" s="31">
        <f t="shared" si="153"/>
        <v>38.6409780912441</v>
      </c>
      <c r="BO142">
        <f t="shared" si="154"/>
        <v>0</v>
      </c>
      <c r="BP142">
        <f t="shared" si="155"/>
        <v>0</v>
      </c>
    </row>
    <row r="143" spans="14:68">
      <c r="N143" s="7">
        <v>25</v>
      </c>
      <c r="O143" s="18">
        <f t="shared" si="158"/>
        <v>177.827941003892</v>
      </c>
      <c r="P143" s="86" t="str">
        <f t="shared" si="105"/>
        <v>163,636363636364</v>
      </c>
      <c r="Q143" s="4" t="str">
        <f t="shared" si="106"/>
        <v>1+6,82584553557954i</v>
      </c>
      <c r="R143" s="4">
        <f t="shared" si="118"/>
        <v>6.89870765256734</v>
      </c>
      <c r="S143" s="4">
        <f t="shared" si="119"/>
        <v>1.42532915237799</v>
      </c>
      <c r="T143" s="4" t="str">
        <f t="shared" si="107"/>
        <v>1+0,0175196702079875i</v>
      </c>
      <c r="U143" s="4">
        <f t="shared" si="120"/>
        <v>1.00015345764747</v>
      </c>
      <c r="V143" s="4">
        <f t="shared" si="121"/>
        <v>0.0175178780489177</v>
      </c>
      <c r="W143" t="str">
        <f t="shared" si="108"/>
        <v>1-0,0167598885918248i</v>
      </c>
      <c r="X143" s="4">
        <f t="shared" si="122"/>
        <v>1.00014043707152</v>
      </c>
      <c r="Y143" s="4">
        <f t="shared" si="123"/>
        <v>-0.0167583196062828</v>
      </c>
      <c r="Z143" t="str">
        <f t="shared" si="109"/>
        <v>0,999999741854885+0,00347169120830656i</v>
      </c>
      <c r="AA143" s="4">
        <f t="shared" si="124"/>
        <v>1.00000576815821</v>
      </c>
      <c r="AB143" s="4">
        <f t="shared" si="125"/>
        <v>0.00347167815691572</v>
      </c>
      <c r="AC143" s="67" t="str">
        <f t="shared" si="126"/>
        <v>3,37561269101272-23,4853395601593i</v>
      </c>
      <c r="AD143" s="68">
        <f t="shared" si="127"/>
        <v>27.5047440229919</v>
      </c>
      <c r="AE143" s="31">
        <f t="shared" si="128"/>
        <v>-81.8207378613804</v>
      </c>
      <c r="AF143" s="32" t="str">
        <f t="shared" si="129"/>
        <v>748,315388573934</v>
      </c>
      <c r="AG143" s="32" t="str">
        <f t="shared" si="110"/>
        <v>1+5,56180006602777i</v>
      </c>
      <c r="AH143" s="32">
        <f t="shared" si="130"/>
        <v>5.65098398285347</v>
      </c>
      <c r="AI143" s="32">
        <f t="shared" si="131"/>
        <v>1.39289914805684</v>
      </c>
      <c r="AJ143" s="32" t="str">
        <f t="shared" si="111"/>
        <v>1+0,0175196702079875i</v>
      </c>
      <c r="AK143" s="32">
        <f t="shared" si="132"/>
        <v>1.00015345764747</v>
      </c>
      <c r="AL143" s="32">
        <f t="shared" si="133"/>
        <v>0.0175178780489177</v>
      </c>
      <c r="AM143" s="32" t="str">
        <f t="shared" si="112"/>
        <v>1-0,00298617909290997i</v>
      </c>
      <c r="AN143" s="32">
        <f t="shared" si="134"/>
        <v>1.00000445862285</v>
      </c>
      <c r="AO143" s="32">
        <f t="shared" si="135"/>
        <v>-0.00298617021677345</v>
      </c>
      <c r="AP143" s="30" t="str">
        <f t="shared" si="136"/>
        <v>25,3288742863202-129,99849962695i</v>
      </c>
      <c r="AQ143" s="32">
        <f t="shared" si="137"/>
        <v>42.4405835396783</v>
      </c>
      <c r="AR143" s="31">
        <f t="shared" si="138"/>
        <v>-78.9746369431259</v>
      </c>
      <c r="AS143" t="str">
        <f t="shared" si="113"/>
        <v>-0,0000504684572142411</v>
      </c>
      <c r="AT143" t="str">
        <f t="shared" si="114"/>
        <v>0,000251063131105535i</v>
      </c>
      <c r="AU143">
        <f t="shared" si="139"/>
        <v>0.000251063131105535</v>
      </c>
      <c r="AV143">
        <f t="shared" si="140"/>
        <v>1.5707963267949</v>
      </c>
      <c r="AW143" t="str">
        <f t="shared" si="115"/>
        <v>1+0,0128539718171983i</v>
      </c>
      <c r="AX143">
        <f t="shared" si="141"/>
        <v>1.00008260888362</v>
      </c>
      <c r="AY143">
        <f t="shared" si="142"/>
        <v>0.0128532639566231</v>
      </c>
      <c r="AZ143" t="str">
        <f t="shared" si="116"/>
        <v>1+0,614529248366907i</v>
      </c>
      <c r="BA143">
        <f t="shared" si="143"/>
        <v>1.17373173983598</v>
      </c>
      <c r="BB143">
        <f t="shared" si="144"/>
        <v>0.551034329225487</v>
      </c>
      <c r="BC143" s="30" t="str">
        <f t="shared" si="145"/>
        <v>-0,120928176506432+0,202573398062461i</v>
      </c>
      <c r="BD143" s="32">
        <f t="shared" si="146"/>
        <v>-12.5445987634037</v>
      </c>
      <c r="BE143" s="31">
        <f t="shared" si="147"/>
        <v>120.83550365376</v>
      </c>
      <c r="BF143" s="30" t="str">
        <f t="shared" si="148"/>
        <v>4,34929835203607+3,52384862100565i</v>
      </c>
      <c r="BG143" s="68">
        <f t="shared" si="149"/>
        <v>14.9601452595882</v>
      </c>
      <c r="BH143" s="31">
        <f t="shared" si="150"/>
        <v>39.0147657923801</v>
      </c>
      <c r="BI143" s="30" t="str">
        <f t="shared" si="156"/>
        <v>23,2712632320475+20,8514376417359i</v>
      </c>
      <c r="BJ143" s="68">
        <f t="shared" si="151"/>
        <v>29.8959847762746</v>
      </c>
      <c r="BK143" s="31">
        <f t="shared" si="157"/>
        <v>41.8608667106346</v>
      </c>
      <c r="BL143" s="32">
        <f t="shared" si="152"/>
        <v>14.9601452595882</v>
      </c>
      <c r="BM143" s="31">
        <f t="shared" si="153"/>
        <v>39.0147657923801</v>
      </c>
      <c r="BO143">
        <f t="shared" si="154"/>
        <v>0</v>
      </c>
      <c r="BP143">
        <f t="shared" si="155"/>
        <v>0</v>
      </c>
    </row>
    <row r="144" spans="14:68">
      <c r="N144" s="7">
        <v>26</v>
      </c>
      <c r="O144" s="18">
        <f t="shared" si="158"/>
        <v>181.970085860998</v>
      </c>
      <c r="P144" s="86" t="str">
        <f t="shared" si="105"/>
        <v>163,636363636364</v>
      </c>
      <c r="Q144" s="4" t="str">
        <f t="shared" si="106"/>
        <v>1+6,98483990294943i</v>
      </c>
      <c r="R144" s="4">
        <f t="shared" si="118"/>
        <v>7.05606040718435</v>
      </c>
      <c r="S144" s="4">
        <f t="shared" si="119"/>
        <v>1.42859542537043</v>
      </c>
      <c r="T144" s="4" t="str">
        <f t="shared" si="107"/>
        <v>1+0,0179277557509035i</v>
      </c>
      <c r="U144" s="4">
        <f t="shared" si="120"/>
        <v>1.00016068930261</v>
      </c>
      <c r="V144" s="4">
        <f t="shared" si="121"/>
        <v>0.017925835434525</v>
      </c>
      <c r="W144" t="str">
        <f t="shared" si="108"/>
        <v>1-0,0171502765474205i</v>
      </c>
      <c r="X144" s="4">
        <f t="shared" si="122"/>
        <v>1.00014705518021</v>
      </c>
      <c r="Y144" s="4">
        <f t="shared" si="123"/>
        <v>-0.0171485953624729</v>
      </c>
      <c r="Z144" t="str">
        <f t="shared" si="109"/>
        <v>0,99999972968888+0,00355255728482281i</v>
      </c>
      <c r="AA144" s="4">
        <f t="shared" si="124"/>
        <v>1.00000604000231</v>
      </c>
      <c r="AB144" s="4">
        <f t="shared" si="125"/>
        <v>0.00355254330001012</v>
      </c>
      <c r="AC144" s="67" t="str">
        <f t="shared" si="126"/>
        <v>3,2239112217268-22,9727807162669i</v>
      </c>
      <c r="AD144" s="68">
        <f t="shared" si="127"/>
        <v>27.3089709618418</v>
      </c>
      <c r="AE144" s="31">
        <f t="shared" si="128"/>
        <v>-82.0115016672533</v>
      </c>
      <c r="AF144" s="32" t="str">
        <f t="shared" si="129"/>
        <v>748,315388573934</v>
      </c>
      <c r="AG144" s="32" t="str">
        <f t="shared" si="110"/>
        <v>1+5,69135103203286i</v>
      </c>
      <c r="AH144" s="32">
        <f t="shared" si="130"/>
        <v>5.77853585000747</v>
      </c>
      <c r="AI144" s="32">
        <f t="shared" si="131"/>
        <v>1.39686649249337</v>
      </c>
      <c r="AJ144" s="32" t="str">
        <f t="shared" si="111"/>
        <v>1+0,0179277557509035i</v>
      </c>
      <c r="AK144" s="32">
        <f t="shared" si="132"/>
        <v>1.00016068930261</v>
      </c>
      <c r="AL144" s="32">
        <f t="shared" si="133"/>
        <v>0.017925835434525</v>
      </c>
      <c r="AM144" s="32" t="str">
        <f t="shared" si="112"/>
        <v>1-0,00305573613947008i</v>
      </c>
      <c r="AN144" s="32">
        <f t="shared" si="134"/>
        <v>1.00000466875078</v>
      </c>
      <c r="AO144" s="32">
        <f t="shared" si="135"/>
        <v>-0.00305572662852084</v>
      </c>
      <c r="AP144" s="30" t="str">
        <f t="shared" si="136"/>
        <v>24,3084550602488-127,218989659862i</v>
      </c>
      <c r="AQ144" s="32">
        <f t="shared" si="137"/>
        <v>42.2467734553783</v>
      </c>
      <c r="AR144" s="31">
        <f t="shared" si="138"/>
        <v>-79.1825600876283</v>
      </c>
      <c r="AS144" t="str">
        <f t="shared" si="113"/>
        <v>-0,0000504684572142411</v>
      </c>
      <c r="AT144" t="str">
        <f t="shared" si="114"/>
        <v>0,000256911142680358i</v>
      </c>
      <c r="AU144">
        <f t="shared" si="139"/>
        <v>0.000256911142680358</v>
      </c>
      <c r="AV144">
        <f t="shared" si="140"/>
        <v>1.5707963267949</v>
      </c>
      <c r="AW144" t="str">
        <f t="shared" si="115"/>
        <v>1+0,0131533792835134i</v>
      </c>
      <c r="AX144">
        <f t="shared" si="141"/>
        <v>1.00008650195199</v>
      </c>
      <c r="AY144">
        <f t="shared" si="142"/>
        <v>0.0131526208007849</v>
      </c>
      <c r="AZ144" t="str">
        <f t="shared" si="116"/>
        <v>1+0,628843473405416i</v>
      </c>
      <c r="BA144">
        <f t="shared" si="143"/>
        <v>1.18128917460738</v>
      </c>
      <c r="BB144">
        <f t="shared" si="144"/>
        <v>0.561358388341539</v>
      </c>
      <c r="BC144" s="30" t="str">
        <f t="shared" si="145"/>
        <v>-0,120927235026387+0,198033841608995i</v>
      </c>
      <c r="BD144" s="32">
        <f t="shared" si="146"/>
        <v>-12.6888850706422</v>
      </c>
      <c r="BE144" s="31">
        <f t="shared" si="147"/>
        <v>121.409876784815</v>
      </c>
      <c r="BF144" s="30" t="str">
        <f t="shared" si="148"/>
        <v>4,15952934766941+3,41647837713056i</v>
      </c>
      <c r="BG144" s="68">
        <f t="shared" si="149"/>
        <v>14.6200858911996</v>
      </c>
      <c r="BH144" s="31">
        <f t="shared" si="150"/>
        <v>39.3983751175615</v>
      </c>
      <c r="BI144" s="30" t="str">
        <f t="shared" si="156"/>
        <v>22,2541109897584+20,1981374015783i</v>
      </c>
      <c r="BJ144" s="68">
        <f t="shared" si="151"/>
        <v>29.5578883847361</v>
      </c>
      <c r="BK144" s="31">
        <f t="shared" si="157"/>
        <v>42.2273166971866</v>
      </c>
      <c r="BL144" s="32">
        <f t="shared" si="152"/>
        <v>14.6200858911996</v>
      </c>
      <c r="BM144" s="31">
        <f t="shared" si="153"/>
        <v>39.3983751175615</v>
      </c>
      <c r="BO144">
        <f t="shared" si="154"/>
        <v>0</v>
      </c>
      <c r="BP144">
        <f t="shared" si="155"/>
        <v>0</v>
      </c>
    </row>
    <row r="145" spans="14:68">
      <c r="N145" s="7">
        <v>27</v>
      </c>
      <c r="O145" s="18">
        <f t="shared" si="158"/>
        <v>186.208713666287</v>
      </c>
      <c r="P145" s="86" t="str">
        <f t="shared" si="105"/>
        <v>163,636363636364</v>
      </c>
      <c r="Q145" s="4" t="str">
        <f t="shared" si="106"/>
        <v>1+7,14753772489119i</v>
      </c>
      <c r="R145" s="4">
        <f t="shared" si="118"/>
        <v>7.21715286860011</v>
      </c>
      <c r="S145" s="4">
        <f t="shared" si="119"/>
        <v>1.43179030340419</v>
      </c>
      <c r="T145" s="4" t="str">
        <f t="shared" si="107"/>
        <v>1+0,0183453468272207i</v>
      </c>
      <c r="U145" s="4">
        <f t="shared" si="120"/>
        <v>1.0001682617191</v>
      </c>
      <c r="V145" s="4">
        <f t="shared" si="121"/>
        <v>0.0183432891898446</v>
      </c>
      <c r="W145" t="str">
        <f t="shared" si="108"/>
        <v>1-0,0175497578066525i</v>
      </c>
      <c r="X145" s="4">
        <f t="shared" si="122"/>
        <v>1.00015398514382</v>
      </c>
      <c r="Y145" s="4">
        <f t="shared" si="123"/>
        <v>-0.0175479563995045</v>
      </c>
      <c r="Z145" t="str">
        <f t="shared" si="109"/>
        <v>0,99999971694951+0,00363530697423515i</v>
      </c>
      <c r="AA145" s="4">
        <f t="shared" si="124"/>
        <v>1.00000632465795</v>
      </c>
      <c r="AB145" s="4">
        <f t="shared" si="125"/>
        <v>0.00363529198924349</v>
      </c>
      <c r="AC145" s="67" t="str">
        <f t="shared" si="126"/>
        <v>3,07876900124665-22,4704843806002i</v>
      </c>
      <c r="AD145" s="68">
        <f t="shared" si="127"/>
        <v>27.1130221523296</v>
      </c>
      <c r="AE145" s="31">
        <f t="shared" si="128"/>
        <v>-82.1982592089024</v>
      </c>
      <c r="AF145" s="32" t="str">
        <f t="shared" si="129"/>
        <v>748,315388573934</v>
      </c>
      <c r="AG145" s="32" t="str">
        <f t="shared" si="110"/>
        <v>1+5,82391962768911i</v>
      </c>
      <c r="AH145" s="32">
        <f t="shared" si="130"/>
        <v>5.909148824474</v>
      </c>
      <c r="AI145" s="32">
        <f t="shared" si="131"/>
        <v>1.40074888112579</v>
      </c>
      <c r="AJ145" s="32" t="str">
        <f t="shared" si="111"/>
        <v>1+0,0183453468272207i</v>
      </c>
      <c r="AK145" s="32">
        <f t="shared" si="132"/>
        <v>1.0001682617191</v>
      </c>
      <c r="AL145" s="32">
        <f t="shared" si="133"/>
        <v>0.0183432891898446</v>
      </c>
      <c r="AM145" s="32" t="str">
        <f t="shared" si="112"/>
        <v>1-0,0031269133777788i</v>
      </c>
      <c r="AN145" s="32">
        <f t="shared" si="134"/>
        <v>1.00000488878169</v>
      </c>
      <c r="AO145" s="32">
        <f t="shared" si="135"/>
        <v>-0.00312690318661577</v>
      </c>
      <c r="AP145" s="30" t="str">
        <f t="shared" si="136"/>
        <v>23,3312697508319-124,491251900574i</v>
      </c>
      <c r="AQ145" s="32">
        <f t="shared" si="137"/>
        <v>42.0526988082926</v>
      </c>
      <c r="AR145" s="31">
        <f t="shared" si="138"/>
        <v>-79.385164348753</v>
      </c>
      <c r="AS145" t="str">
        <f t="shared" si="113"/>
        <v>-0,0000504684572142411</v>
      </c>
      <c r="AT145" t="str">
        <f t="shared" si="114"/>
        <v>0,000262895371943653i</v>
      </c>
      <c r="AU145">
        <f t="shared" si="139"/>
        <v>0.000262895371943653</v>
      </c>
      <c r="AV145">
        <f t="shared" si="140"/>
        <v>1.5707963267949</v>
      </c>
      <c r="AW145" t="str">
        <f t="shared" si="115"/>
        <v>1+0,0134597608456302i</v>
      </c>
      <c r="AX145">
        <f t="shared" si="141"/>
        <v>1.00009057847878</v>
      </c>
      <c r="AY145">
        <f t="shared" si="142"/>
        <v>0.0134589481207194</v>
      </c>
      <c r="AZ145" t="str">
        <f t="shared" si="116"/>
        <v>1+0,643491119577256i</v>
      </c>
      <c r="BA145">
        <f t="shared" si="143"/>
        <v>1.18915130281003</v>
      </c>
      <c r="BB145">
        <f t="shared" si="144"/>
        <v>0.571785940502563</v>
      </c>
      <c r="BC145" s="30" t="str">
        <f t="shared" si="145"/>
        <v>-0,120926249191467+0,193599284152291i</v>
      </c>
      <c r="BD145" s="32">
        <f t="shared" si="146"/>
        <v>-12.8313026372681</v>
      </c>
      <c r="BE145" s="31">
        <f t="shared" si="147"/>
        <v>121.989780251713</v>
      </c>
      <c r="BF145" s="30" t="str">
        <f t="shared" si="148"/>
        <v>3,97796570319172+3,31331886837304i</v>
      </c>
      <c r="BG145" s="68">
        <f t="shared" si="149"/>
        <v>14.2817195150615</v>
      </c>
      <c r="BH145" s="31">
        <f t="shared" si="150"/>
        <v>39.79152104281</v>
      </c>
      <c r="BI145" s="30" t="str">
        <f t="shared" si="156"/>
        <v>21,2800543113312+19,5711772716116i</v>
      </c>
      <c r="BJ145" s="68">
        <f t="shared" si="151"/>
        <v>29.2213961710245</v>
      </c>
      <c r="BK145" s="31">
        <f t="shared" si="157"/>
        <v>42.6046159029596</v>
      </c>
      <c r="BL145" s="32">
        <f t="shared" si="152"/>
        <v>14.2817195150615</v>
      </c>
      <c r="BM145" s="31">
        <f t="shared" si="153"/>
        <v>39.79152104281</v>
      </c>
      <c r="BO145">
        <f t="shared" si="154"/>
        <v>0</v>
      </c>
      <c r="BP145">
        <f t="shared" si="155"/>
        <v>0</v>
      </c>
    </row>
    <row r="146" spans="14:68">
      <c r="N146" s="7">
        <v>28</v>
      </c>
      <c r="O146" s="18">
        <f t="shared" si="158"/>
        <v>190.546071796325</v>
      </c>
      <c r="P146" s="86" t="str">
        <f t="shared" si="105"/>
        <v>163,636363636364</v>
      </c>
      <c r="Q146" s="4" t="str">
        <f t="shared" si="106"/>
        <v>1+7,31402526594347i</v>
      </c>
      <c r="R146" s="4">
        <f t="shared" si="118"/>
        <v>7.38207054903023</v>
      </c>
      <c r="S146" s="4">
        <f t="shared" si="119"/>
        <v>1.4349152194221</v>
      </c>
      <c r="T146" s="4" t="str">
        <f t="shared" si="107"/>
        <v>1+0,0187726648492549i</v>
      </c>
      <c r="U146" s="4">
        <f t="shared" si="120"/>
        <v>1.00017619095115</v>
      </c>
      <c r="V146" s="4">
        <f t="shared" si="121"/>
        <v>0.0187704600720596</v>
      </c>
      <c r="W146" t="str">
        <f t="shared" si="108"/>
        <v>1-0,0179585441797719i</v>
      </c>
      <c r="X146" s="4">
        <f t="shared" si="122"/>
        <v>1.00016124165509</v>
      </c>
      <c r="Y146" s="4">
        <f t="shared" si="123"/>
        <v>-0.0179566139540426</v>
      </c>
      <c r="Z146" t="str">
        <f t="shared" si="109"/>
        <v>0,999999703609751+0,00371998415152418i</v>
      </c>
      <c r="AA146" s="4">
        <f t="shared" si="124"/>
        <v>1.00000662272891</v>
      </c>
      <c r="AB146" s="4">
        <f t="shared" si="125"/>
        <v>0.00371996809482207</v>
      </c>
      <c r="AC146" s="67" t="str">
        <f t="shared" si="126"/>
        <v>2,93991375549328-21,9783073785333i</v>
      </c>
      <c r="AD146" s="68">
        <f t="shared" si="127"/>
        <v>26.9169057025068</v>
      </c>
      <c r="AE146" s="31">
        <f t="shared" si="128"/>
        <v>-82.3810945559961</v>
      </c>
      <c r="AF146" s="32" t="str">
        <f t="shared" si="129"/>
        <v>748,315388573934</v>
      </c>
      <c r="AG146" s="32" t="str">
        <f t="shared" si="110"/>
        <v>1+5,95957614262061i</v>
      </c>
      <c r="AH146" s="32">
        <f t="shared" si="130"/>
        <v>6.04289233725811</v>
      </c>
      <c r="AI146" s="32">
        <f t="shared" si="131"/>
        <v>1.40454790406216</v>
      </c>
      <c r="AJ146" s="32" t="str">
        <f t="shared" si="111"/>
        <v>1+0,0187726648492549i</v>
      </c>
      <c r="AK146" s="32">
        <f t="shared" si="132"/>
        <v>1.00017619095115</v>
      </c>
      <c r="AL146" s="32">
        <f t="shared" si="133"/>
        <v>0.0187704600720596</v>
      </c>
      <c r="AM146" s="32" t="str">
        <f t="shared" si="112"/>
        <v>1-0,00319974854694999i</v>
      </c>
      <c r="AN146" s="32">
        <f t="shared" si="134"/>
        <v>1.00000511918228</v>
      </c>
      <c r="AO146" s="32">
        <f t="shared" si="135"/>
        <v>-0.00319973762692508</v>
      </c>
      <c r="AP146" s="30" t="str">
        <f t="shared" si="136"/>
        <v>22,3955994605428-121,814827330749i</v>
      </c>
      <c r="AQ146" s="32">
        <f t="shared" si="137"/>
        <v>41.8583710954934</v>
      </c>
      <c r="AR146" s="31">
        <f t="shared" si="138"/>
        <v>-79.5825303466317</v>
      </c>
      <c r="AS146" t="str">
        <f t="shared" si="113"/>
        <v>-0,0000504684572142411</v>
      </c>
      <c r="AT146" t="str">
        <f t="shared" si="114"/>
        <v>0,000269018991812982i</v>
      </c>
      <c r="AU146">
        <f t="shared" si="139"/>
        <v>0.000269018991812982</v>
      </c>
      <c r="AV146">
        <f t="shared" si="140"/>
        <v>1.5707963267949</v>
      </c>
      <c r="AW146" t="str">
        <f t="shared" si="115"/>
        <v>1+0,0137732789511083i</v>
      </c>
      <c r="AX146">
        <f t="shared" si="141"/>
        <v>1.00009484710855</v>
      </c>
      <c r="AY146">
        <f t="shared" si="142"/>
        <v>0.013772408105137</v>
      </c>
      <c r="AZ146" t="str">
        <f t="shared" si="116"/>
        <v>1+0,658479953258302i</v>
      </c>
      <c r="BA146">
        <f t="shared" si="143"/>
        <v>1.19732863026116</v>
      </c>
      <c r="BB146">
        <f t="shared" si="144"/>
        <v>0.582313443633931</v>
      </c>
      <c r="BC146" s="30" t="str">
        <f t="shared" si="145"/>
        <v>-0,120925216912805+0,189267374347835i</v>
      </c>
      <c r="BD146" s="32">
        <f t="shared" si="146"/>
        <v>-12.9718146832337</v>
      </c>
      <c r="BE146" s="31">
        <f t="shared" si="147"/>
        <v>122.575001815797</v>
      </c>
      <c r="BF146" s="30" t="str">
        <f t="shared" si="148"/>
        <v>3,80426682155668+3,21416134443674i</v>
      </c>
      <c r="BG146" s="68">
        <f t="shared" si="149"/>
        <v>13.945091019273</v>
      </c>
      <c r="BH146" s="31">
        <f t="shared" si="150"/>
        <v>40.193907259801</v>
      </c>
      <c r="BI146" s="30" t="str">
        <f t="shared" si="156"/>
        <v>20,3473798028673+18,9692407250094i</v>
      </c>
      <c r="BJ146" s="68">
        <f t="shared" si="151"/>
        <v>28.8865564122597</v>
      </c>
      <c r="BK146" s="31">
        <f t="shared" si="157"/>
        <v>42.9924714691655</v>
      </c>
      <c r="BL146" s="32">
        <f t="shared" si="152"/>
        <v>13.945091019273</v>
      </c>
      <c r="BM146" s="31">
        <f t="shared" si="153"/>
        <v>40.193907259801</v>
      </c>
      <c r="BO146">
        <f t="shared" si="154"/>
        <v>0</v>
      </c>
      <c r="BP146">
        <f t="shared" si="155"/>
        <v>0</v>
      </c>
    </row>
    <row r="147" spans="14:68">
      <c r="N147" s="7">
        <v>29</v>
      </c>
      <c r="O147" s="18">
        <f t="shared" si="158"/>
        <v>194.984459975805</v>
      </c>
      <c r="P147" s="86" t="str">
        <f t="shared" ref="P147:P210" si="159">COMPLEX(Adc,0)</f>
        <v>163,636363636364</v>
      </c>
      <c r="Q147" s="4" t="str">
        <f t="shared" ref="Q147:Q210" si="160">IMSUM(COMPLEX(1,0),IMDIV(COMPLEX(0,2*PI()*O147),COMPLEX(wp_lf,0)))</f>
        <v>1+7,48439080000429i</v>
      </c>
      <c r="R147" s="4">
        <f t="shared" si="118"/>
        <v>7.55090098247811</v>
      </c>
      <c r="S147" s="4">
        <f t="shared" si="119"/>
        <v>1.43797158604674</v>
      </c>
      <c r="T147" s="4" t="str">
        <f t="shared" ref="T147:T210" si="161">IMSUM(COMPLEX(1,0),IMDIV(COMPLEX(0,2*PI()*O147),COMPLEX(wz_esr,0)))</f>
        <v>1+0,0192099363866777i</v>
      </c>
      <c r="U147" s="4">
        <f t="shared" si="120"/>
        <v>1.00018449380901</v>
      </c>
      <c r="V147" s="4">
        <f t="shared" si="121"/>
        <v>0.0192075739488845</v>
      </c>
      <c r="W147" t="str">
        <f t="shared" ref="W147:W210" si="162">IMSUB(COMPLEX(1,0),IMDIV(COMPLEX(0,2*PI()*O147),COMPLEX(wz_rhp,0)))</f>
        <v>1-0,0183768524107248i</v>
      </c>
      <c r="X147" s="4">
        <f t="shared" si="122"/>
        <v>1.00016884009877</v>
      </c>
      <c r="Y147" s="4">
        <f t="shared" si="123"/>
        <v>-0.018374784155449</v>
      </c>
      <c r="Z147" t="str">
        <f t="shared" ref="Z147:Z210" si="163">IMSUM(COMPLEX(1,0),IMDIV(COMPLEX(0,2*PI()*O147),COMPLEX(Q*(wsl/2),0)),IMDIV(IMPOWER(COMPLEX(0,2*PI()*O147),2),IMPOWER(COMPLEX(wsl/2,0),2)))</f>
        <v>0,999999689641309+0,00380663371365014i</v>
      </c>
      <c r="AA147" s="4">
        <f t="shared" si="124"/>
        <v>1.00000693484743</v>
      </c>
      <c r="AB147" s="4">
        <f t="shared" si="125"/>
        <v>0.00380661650859029</v>
      </c>
      <c r="AC147" s="67" t="str">
        <f t="shared" si="126"/>
        <v>2,80708352934379-21,4961041949546i</v>
      </c>
      <c r="AD147" s="68">
        <f t="shared" si="127"/>
        <v>26.7206294064276</v>
      </c>
      <c r="AE147" s="31">
        <f t="shared" si="128"/>
        <v>-82.5600906599928</v>
      </c>
      <c r="AF147" s="32" t="str">
        <f t="shared" si="129"/>
        <v>748,315388573934</v>
      </c>
      <c r="AG147" s="32" t="str">
        <f t="shared" ref="AG147:AG210" si="164">IMSUM(COMPLEX(1,0),IMDIV(COMPLEX(0,2*PI()*O147),COMPLEX(wp_lf_DCM,0)))</f>
        <v>1+6,0983925037072i</v>
      </c>
      <c r="AH147" s="32">
        <f t="shared" si="130"/>
        <v>6.17983746786857</v>
      </c>
      <c r="AI147" s="32">
        <f t="shared" si="131"/>
        <v>1.40826513673694</v>
      </c>
      <c r="AJ147" s="32" t="str">
        <f t="shared" ref="AJ147:AJ210" si="165">IMSUM(COMPLEX(1,0),IMDIV(COMPLEX(0,2*PI()*O147),COMPLEX(wz1_dcm,0)))</f>
        <v>1+0,0192099363866777i</v>
      </c>
      <c r="AK147" s="32">
        <f t="shared" si="132"/>
        <v>1.00018449380901</v>
      </c>
      <c r="AL147" s="32">
        <f t="shared" si="133"/>
        <v>0.0192075739488845</v>
      </c>
      <c r="AM147" s="32" t="str">
        <f t="shared" ref="AM147:AM210" si="166">IMSUB(COMPLEX(1,0),IMDIV(COMPLEX(0,2*PI()*O147),COMPLEX(wz2_dcm,0)))</f>
        <v>1-0,00327428026515443i</v>
      </c>
      <c r="AN147" s="32">
        <f t="shared" si="134"/>
        <v>1.00000536044126</v>
      </c>
      <c r="AO147" s="32">
        <f t="shared" si="135"/>
        <v>-0.00327426856414032</v>
      </c>
      <c r="AP147" s="30" t="str">
        <f t="shared" si="136"/>
        <v>21,4997839255168-119,189224419938i</v>
      </c>
      <c r="AQ147" s="32">
        <f t="shared" si="137"/>
        <v>41.6638013680747</v>
      </c>
      <c r="AR147" s="31">
        <f t="shared" si="138"/>
        <v>-79.7747376182017</v>
      </c>
      <c r="AS147" t="str">
        <f t="shared" ref="AS147:AS210" si="167">COMPLEX(Adc_ea,0)</f>
        <v>-0,0000504684572142411</v>
      </c>
      <c r="AT147" t="str">
        <f t="shared" ref="AT147:AT210" si="168">COMPLEX(0,2*PI()*O147*wp0_ea)</f>
        <v>0,000275285249112658i</v>
      </c>
      <c r="AU147">
        <f t="shared" si="139"/>
        <v>0.000275285249112658</v>
      </c>
      <c r="AV147">
        <f t="shared" si="140"/>
        <v>1.5707963267949</v>
      </c>
      <c r="AW147" t="str">
        <f t="shared" ref="AW147:AW210" si="169">IMSUM(COMPLEX(1,0),IMDIV(COMPLEX(0,2*PI()*O147),COMPLEX(wp1_ea,0)))</f>
        <v>1+0,014094099831397i</v>
      </c>
      <c r="AX147">
        <f t="shared" si="141"/>
        <v>1.00009931689311</v>
      </c>
      <c r="AY147">
        <f t="shared" si="142"/>
        <v>0.0140931667081316</v>
      </c>
      <c r="AZ147" t="str">
        <f t="shared" ref="AZ147:AZ210" si="170">IMSUM(COMPLEX(1,0),IMDIV(COMPLEX(0,2*PI()*O147),COMPLEX(wz_ea,0)))</f>
        <v>1+0,673817921726575i</v>
      </c>
      <c r="BA147">
        <f t="shared" si="143"/>
        <v>1.20583190853449</v>
      </c>
      <c r="BB147">
        <f t="shared" si="144"/>
        <v>0.592937145404565</v>
      </c>
      <c r="BC147" s="30" t="str">
        <f t="shared" si="145"/>
        <v>-0,120924136003238+0,185035815270284i</v>
      </c>
      <c r="BD147" s="32">
        <f t="shared" si="146"/>
        <v>-13.110385412902</v>
      </c>
      <c r="BE147" s="31">
        <f t="shared" si="147"/>
        <v>123.165316975866</v>
      </c>
      <c r="BF147" s="30" t="str">
        <f t="shared" si="148"/>
        <v>3,63810501437358+3,11880881659438i</v>
      </c>
      <c r="BG147" s="68">
        <f t="shared" si="149"/>
        <v>13.6102439935255</v>
      </c>
      <c r="BH147" s="31">
        <f t="shared" si="150"/>
        <v>40.6052263158734</v>
      </c>
      <c r="BI147" s="30" t="str">
        <f t="shared" si="156"/>
        <v>19,4544325165266+18,39108403067i</v>
      </c>
      <c r="BJ147" s="68">
        <f t="shared" si="151"/>
        <v>28.5534159551726</v>
      </c>
      <c r="BK147" s="31">
        <f t="shared" si="157"/>
        <v>43.3905793576646</v>
      </c>
      <c r="BL147" s="32">
        <f t="shared" si="152"/>
        <v>13.6102439935255</v>
      </c>
      <c r="BM147" s="31">
        <f t="shared" si="153"/>
        <v>40.6052263158734</v>
      </c>
      <c r="BO147">
        <f t="shared" si="154"/>
        <v>0</v>
      </c>
      <c r="BP147">
        <f t="shared" si="155"/>
        <v>0</v>
      </c>
    </row>
    <row r="148" spans="14:68">
      <c r="N148" s="7">
        <v>30</v>
      </c>
      <c r="O148" s="18">
        <f t="shared" si="158"/>
        <v>199.526231496888</v>
      </c>
      <c r="P148" s="86" t="str">
        <f t="shared" si="159"/>
        <v>163,636363636364</v>
      </c>
      <c r="Q148" s="4" t="str">
        <f t="shared" si="160"/>
        <v>1+7,65872465713495i</v>
      </c>
      <c r="R148" s="4">
        <f t="shared" ref="R148:R211" si="171">IMABS(Q148)</f>
        <v>7.72373377155161</v>
      </c>
      <c r="S148" s="4">
        <f t="shared" ref="S148:S211" si="172">IMARGUMENT(Q148)</f>
        <v>1.44096079527821</v>
      </c>
      <c r="T148" s="4" t="str">
        <f t="shared" si="161"/>
        <v>1+0,0196573932866464i</v>
      </c>
      <c r="U148" s="4">
        <f t="shared" ref="U148:U211" si="173">IMABS(T148)</f>
        <v>1.00019318789463</v>
      </c>
      <c r="V148" s="4">
        <f t="shared" ref="V148:V211" si="174">IMARGUMENT(T148)</f>
        <v>0.01965486191535</v>
      </c>
      <c r="W148" t="str">
        <f t="shared" si="162"/>
        <v>1-0,0188049042920724i</v>
      </c>
      <c r="X148" s="4">
        <f t="shared" ref="X148:X211" si="175">IMABS(W148)</f>
        <v>1.0001767965842</v>
      </c>
      <c r="Y148" s="4">
        <f t="shared" ref="Y148:Y211" si="176">IMARGUMENT(W148)</f>
        <v>-0.0188026881377733</v>
      </c>
      <c r="Z148" t="str">
        <f t="shared" si="163"/>
        <v>0,999999675014555+0,00389530160335786i</v>
      </c>
      <c r="AA148" s="4">
        <f t="shared" ref="AA148:AA211" si="177">IMABS(Z148)</f>
        <v>1.00000726167553</v>
      </c>
      <c r="AB148" s="4">
        <f t="shared" ref="AB148:AB211" si="178">IMARGUMENT(Z148)</f>
        <v>0.00389528316781131</v>
      </c>
      <c r="AC148" s="67" t="str">
        <f t="shared" ref="AC148:AC211" si="179">(IMDIV(IMPRODUCT(P148,T148,W148),IMPRODUCT(Q148,Z148)))</f>
        <v>2,6800263819907-21,0237273578056i</v>
      </c>
      <c r="AD148" s="68">
        <f t="shared" ref="AD148:AD211" si="180">20*LOG(IMABS(AC148))</f>
        <v>26.5242007571492</v>
      </c>
      <c r="AE148" s="31">
        <f t="shared" ref="AE148:AE211" si="181">(180/PI())*IMARGUMENT(AC148)</f>
        <v>-82.7353293379133</v>
      </c>
      <c r="AF148" s="32" t="str">
        <f t="shared" ref="AF148:AF211" si="182">COMPLEX($B$68,0)</f>
        <v>748,315388573934</v>
      </c>
      <c r="AG148" s="32" t="str">
        <f t="shared" si="164"/>
        <v>1+6,24044231322107i</v>
      </c>
      <c r="AH148" s="32">
        <f t="shared" ref="AH148:AH211" si="183">IMABS(AG148)</f>
        <v>6.32005698270514</v>
      </c>
      <c r="AI148" s="32">
        <f t="shared" ref="AI148:AI211" si="184">IMARGUMENT(AG148)</f>
        <v>1.41190213895606</v>
      </c>
      <c r="AJ148" s="32" t="str">
        <f t="shared" si="165"/>
        <v>1+0,0196573932866464i</v>
      </c>
      <c r="AK148" s="32">
        <f t="shared" ref="AK148:AK211" si="185">IMABS(AJ148)</f>
        <v>1.00019318789463</v>
      </c>
      <c r="AL148" s="32">
        <f t="shared" ref="AL148:AL211" si="186">IMARGUMENT(AJ148)</f>
        <v>0.01965486191535</v>
      </c>
      <c r="AM148" s="32" t="str">
        <f t="shared" si="166"/>
        <v>1-0,0033505480500957i</v>
      </c>
      <c r="AN148" s="32">
        <f t="shared" ref="AN148:AN211" si="187">IMABS(AM148)</f>
        <v>1.00000561307036</v>
      </c>
      <c r="AO148" s="32">
        <f t="shared" ref="AO148:AO211" si="188">IMARGUMENT(AM148)</f>
        <v>-0.00335053551223699</v>
      </c>
      <c r="AP148" s="30" t="str">
        <f t="shared" ref="AP148:AP211" si="189">(IMDIV(IMPRODUCT(AF148,AJ148,AM148),IMPRODUCT(AG148)))</f>
        <v>20,6422203721221-116,61392221942i</v>
      </c>
      <c r="AQ148" s="32">
        <f t="shared" ref="AQ148:AQ211" si="190">20*LOG(IMABS(AP148))</f>
        <v>41.4690002470286</v>
      </c>
      <c r="AR148" s="31">
        <f t="shared" ref="AR148:AR211" si="191">(180/PI())*IMARGUMENT(AP148)</f>
        <v>-79.9618645569739</v>
      </c>
      <c r="AS148" t="str">
        <f t="shared" si="167"/>
        <v>-0,0000504684572142411</v>
      </c>
      <c r="AT148" t="str">
        <f t="shared" si="168"/>
        <v>0,000281697466295244i</v>
      </c>
      <c r="AU148">
        <f t="shared" ref="AU148:AU211" si="192">IMABS(AT148)</f>
        <v>0.000281697466295244</v>
      </c>
      <c r="AV148">
        <f t="shared" ref="AV148:AV211" si="193">IMARGUMENT(AT148)</f>
        <v>1.5707963267949</v>
      </c>
      <c r="AW148" t="str">
        <f t="shared" si="169"/>
        <v>1+0,0144223935899739i</v>
      </c>
      <c r="AX148">
        <f t="shared" ref="AX148:AX211" si="194">IMABS(AW148)</f>
        <v>1.00010399731071</v>
      </c>
      <c r="AY148">
        <f t="shared" ref="AY148:AY211" si="195">IMARGUMENT(AW148)</f>
        <v>0.0144213937359962</v>
      </c>
      <c r="AZ148" t="str">
        <f t="shared" si="170"/>
        <v>1+0,689513157375987i</v>
      </c>
      <c r="BA148">
        <f t="shared" ref="BA148:BA211" si="196">IMABS(AZ148)</f>
        <v>1.21467213444394</v>
      </c>
      <c r="BB148">
        <f t="shared" ref="BB148:BB211" si="197">IMARGUMENT(AZ148)</f>
        <v>0.603653086359425</v>
      </c>
      <c r="BC148" s="30" t="str">
        <f t="shared" ref="BC148:BC211" si="198">IMPRODUCT(AS148,IMDIV(AZ148,IMPRODUCT(AT148,AW148)))</f>
        <v>-0,120923004172684+0,180902363195192i</v>
      </c>
      <c r="BD148" s="32">
        <f t="shared" ref="BD148:BD211" si="199">20*LOG(IMABS(BC148))</f>
        <v>-13.2469801298847</v>
      </c>
      <c r="BE148" s="31">
        <f t="shared" ref="BE148:BE211" si="200">(180/PI())*IMARGUMENT(BC148)</f>
        <v>123.760489142672</v>
      </c>
      <c r="BF148" s="30" t="str">
        <f t="shared" ref="BF148:BF211" si="201">IMPRODUCT(AC148,BC148)</f>
        <v>3,47916512082608+3,02707537694088i</v>
      </c>
      <c r="BG148" s="68">
        <f t="shared" ref="BG148:BG211" si="202">20*LOG(IMABS(BF148))</f>
        <v>13.2772206272645</v>
      </c>
      <c r="BH148" s="31">
        <f t="shared" ref="BH148:BH211" si="203">(180/PI())*IMARGUMENT(BF148)</f>
        <v>41.0251598047589</v>
      </c>
      <c r="BI148" s="30" t="str">
        <f t="shared" si="156"/>
        <v>18,5996148107618+17,8355322500448i</v>
      </c>
      <c r="BJ148" s="68">
        <f t="shared" ref="BJ148:BJ211" si="204">20*LOG(IMABS(BI148))</f>
        <v>28.2220201171439</v>
      </c>
      <c r="BK148" s="31">
        <f t="shared" si="157"/>
        <v>43.7986245856983</v>
      </c>
      <c r="BL148" s="32">
        <f t="shared" ref="BL148:BL211" si="205">IF($B$31=0,BJ148,BG148)</f>
        <v>13.2772206272645</v>
      </c>
      <c r="BM148" s="31">
        <f t="shared" ref="BM148:BM211" si="206">IF($B$31=0,BK148,BH148)</f>
        <v>41.0251598047589</v>
      </c>
      <c r="BO148">
        <f t="shared" ref="BO148:BO211" si="207">SUM((BL149&lt;0)*(BL148&gt;0))*O148</f>
        <v>0</v>
      </c>
      <c r="BP148">
        <f t="shared" ref="BP148:BP211" si="208">IF(BO148&gt;0,BM148,0)</f>
        <v>0</v>
      </c>
    </row>
    <row r="149" spans="14:68">
      <c r="N149" s="7">
        <v>31</v>
      </c>
      <c r="O149" s="18">
        <f t="shared" si="158"/>
        <v>204.173794466953</v>
      </c>
      <c r="P149" s="86" t="str">
        <f t="shared" si="159"/>
        <v>163,636363636364</v>
      </c>
      <c r="Q149" s="4" t="str">
        <f t="shared" si="160"/>
        <v>1+7,83711927145399i</v>
      </c>
      <c r="R149" s="4">
        <f t="shared" si="171"/>
        <v>7.90066063535168</v>
      </c>
      <c r="S149" s="4">
        <f t="shared" si="172"/>
        <v>1.44388421824406</v>
      </c>
      <c r="T149" s="4" t="str">
        <f t="shared" si="161"/>
        <v>1+0,0201152727967319i</v>
      </c>
      <c r="U149" s="4">
        <f t="shared" si="173"/>
        <v>1.00020229163889</v>
      </c>
      <c r="V149" s="4">
        <f t="shared" si="174"/>
        <v>0.0201125604131468</v>
      </c>
      <c r="W149" t="str">
        <f t="shared" si="162"/>
        <v>1-0,0192429267825879i</v>
      </c>
      <c r="X149" s="4">
        <f t="shared" si="175"/>
        <v>1.0001851279794</v>
      </c>
      <c r="Y149" s="4">
        <f t="shared" si="176"/>
        <v>-0.0192405521542111</v>
      </c>
      <c r="Z149" t="str">
        <f t="shared" si="163"/>
        <v>0,999999659698462+0,00398603483353607i</v>
      </c>
      <c r="AA149" s="4">
        <f t="shared" si="177"/>
        <v>1.00000760390646</v>
      </c>
      <c r="AB149" s="4">
        <f t="shared" si="178"/>
        <v>0.00398601507950015</v>
      </c>
      <c r="AC149" s="67" t="str">
        <f t="shared" si="179"/>
        <v>2,55850008324724-20,5610277953428i</v>
      </c>
      <c r="AD149" s="68">
        <f t="shared" si="180"/>
        <v>26.3276269593873</v>
      </c>
      <c r="AE149" s="31">
        <f t="shared" si="181"/>
        <v>-82.9068912591241</v>
      </c>
      <c r="AF149" s="32" t="str">
        <f t="shared" si="182"/>
        <v>748,315388573934</v>
      </c>
      <c r="AG149" s="32" t="str">
        <f t="shared" si="164"/>
        <v>1+6,3858008878514i</v>
      </c>
      <c r="AH149" s="32">
        <f t="shared" si="183"/>
        <v>6.46362537429914</v>
      </c>
      <c r="AI149" s="32">
        <f t="shared" si="184"/>
        <v>1.41546045403474</v>
      </c>
      <c r="AJ149" s="32" t="str">
        <f t="shared" si="165"/>
        <v>1+0,0201152727967319i</v>
      </c>
      <c r="AK149" s="32">
        <f t="shared" si="185"/>
        <v>1.00020229163889</v>
      </c>
      <c r="AL149" s="32">
        <f t="shared" si="186"/>
        <v>0.0201125604131468</v>
      </c>
      <c r="AM149" s="32" t="str">
        <f t="shared" si="166"/>
        <v>1-0,00342859233996287i</v>
      </c>
      <c r="AN149" s="32">
        <f t="shared" si="187"/>
        <v>1.00000587760544</v>
      </c>
      <c r="AO149" s="32">
        <f t="shared" si="188"/>
        <v>-0.00342857890540948</v>
      </c>
      <c r="AP149" s="30" t="str">
        <f t="shared" si="189"/>
        <v>19,8213623118691-114,088373279542i</v>
      </c>
      <c r="AQ149" s="32">
        <f t="shared" si="190"/>
        <v>41.2739779388237</v>
      </c>
      <c r="AR149" s="31">
        <f t="shared" si="191"/>
        <v>-80.1439883579942</v>
      </c>
      <c r="AS149" t="str">
        <f t="shared" si="167"/>
        <v>-0,0000504684572142411</v>
      </c>
      <c r="AT149" t="str">
        <f t="shared" si="168"/>
        <v>0,000288259043203168i</v>
      </c>
      <c r="AU149">
        <f t="shared" si="192"/>
        <v>0.000288259043203168</v>
      </c>
      <c r="AV149">
        <f t="shared" si="193"/>
        <v>1.5707963267949</v>
      </c>
      <c r="AW149" t="str">
        <f t="shared" si="169"/>
        <v>1+0,0147583342925352i</v>
      </c>
      <c r="AX149">
        <f t="shared" si="194"/>
        <v>1.00010889828613</v>
      </c>
      <c r="AY149">
        <f t="shared" si="195"/>
        <v>0.0147572629359961</v>
      </c>
      <c r="AZ149" t="str">
        <f t="shared" si="170"/>
        <v>1+0,705573982028222i</v>
      </c>
      <c r="BA149">
        <f t="shared" si="196"/>
        <v>1.22386054929275</v>
      </c>
      <c r="BB149">
        <f t="shared" si="197"/>
        <v>0.614457104019172</v>
      </c>
      <c r="BC149" s="30" t="str">
        <f t="shared" si="198"/>
        <v>-0,120921819023308+0,176864826408892i</v>
      </c>
      <c r="BD149" s="32">
        <f t="shared" si="199"/>
        <v>-13.3815653517756</v>
      </c>
      <c r="BE149" s="31">
        <f t="shared" si="200"/>
        <v>124.360269868732</v>
      </c>
      <c r="BF149" s="30" t="str">
        <f t="shared" si="201"/>
        <v>3,32714412777417+2,93878555509231i</v>
      </c>
      <c r="BG149" s="68">
        <f t="shared" si="202"/>
        <v>12.9460616076118</v>
      </c>
      <c r="BH149" s="31">
        <f t="shared" si="203"/>
        <v>41.4533786096082</v>
      </c>
      <c r="BI149" s="30" t="str">
        <f t="shared" si="156"/>
        <v>17,7813851490878+17,3014754308489i</v>
      </c>
      <c r="BJ149" s="68">
        <f t="shared" si="204"/>
        <v>27.8924125870482</v>
      </c>
      <c r="BK149" s="31">
        <f t="shared" si="157"/>
        <v>44.2162815107382</v>
      </c>
      <c r="BL149" s="32">
        <f t="shared" si="205"/>
        <v>12.9460616076118</v>
      </c>
      <c r="BM149" s="31">
        <f t="shared" si="206"/>
        <v>41.4533786096082</v>
      </c>
      <c r="BO149">
        <f t="shared" si="207"/>
        <v>0</v>
      </c>
      <c r="BP149">
        <f t="shared" si="208"/>
        <v>0</v>
      </c>
    </row>
    <row r="150" spans="14:68">
      <c r="N150" s="7">
        <v>32</v>
      </c>
      <c r="O150" s="18">
        <f t="shared" si="158"/>
        <v>208.929613085404</v>
      </c>
      <c r="P150" s="86" t="str">
        <f t="shared" si="159"/>
        <v>163,636363636364</v>
      </c>
      <c r="Q150" s="4" t="str">
        <f t="shared" si="160"/>
        <v>1+8,01966923014736i</v>
      </c>
      <c r="R150" s="4">
        <f t="shared" si="171"/>
        <v>8.08177545846037</v>
      </c>
      <c r="S150" s="4">
        <f t="shared" si="172"/>
        <v>1.44674320499757</v>
      </c>
      <c r="T150" s="4" t="str">
        <f t="shared" si="161"/>
        <v>1+0,0205838176907116i</v>
      </c>
      <c r="U150" s="4">
        <f t="shared" si="173"/>
        <v>1.00021182434059</v>
      </c>
      <c r="V150" s="4">
        <f t="shared" si="174"/>
        <v>0.0205809113525789</v>
      </c>
      <c r="W150" t="str">
        <f t="shared" si="162"/>
        <v>1-0,019691152127594i</v>
      </c>
      <c r="X150" s="4">
        <f t="shared" si="175"/>
        <v>1.00019385194677</v>
      </c>
      <c r="Y150" s="4">
        <f t="shared" si="176"/>
        <v>-0.0196886076940794</v>
      </c>
      <c r="Z150" t="str">
        <f t="shared" si="163"/>
        <v>0,999999643660545+0,00407888151214446i</v>
      </c>
      <c r="AA150" s="4">
        <f t="shared" si="177"/>
        <v>1.0000079622661</v>
      </c>
      <c r="AB150" s="4">
        <f t="shared" si="178"/>
        <v>0.00407886034532271</v>
      </c>
      <c r="AC150" s="67" t="str">
        <f t="shared" si="179"/>
        <v>2,44227181172061-20,1078551684442i</v>
      </c>
      <c r="AD150" s="68">
        <f t="shared" si="180"/>
        <v>26.1309149418294</v>
      </c>
      <c r="AE150" s="31">
        <f t="shared" si="181"/>
        <v>-83.074855934925</v>
      </c>
      <c r="AF150" s="32" t="str">
        <f t="shared" si="182"/>
        <v>748,315388573934</v>
      </c>
      <c r="AG150" s="32" t="str">
        <f t="shared" si="164"/>
        <v>1+6,53454529863859i</v>
      </c>
      <c r="AH150" s="32">
        <f t="shared" si="183"/>
        <v>6.61061890143122</v>
      </c>
      <c r="AI150" s="32">
        <f t="shared" si="184"/>
        <v>1.41894160802262</v>
      </c>
      <c r="AJ150" s="32" t="str">
        <f t="shared" si="165"/>
        <v>1+0,0205838176907116i</v>
      </c>
      <c r="AK150" s="32">
        <f t="shared" si="185"/>
        <v>1.00021182434059</v>
      </c>
      <c r="AL150" s="32">
        <f t="shared" si="186"/>
        <v>0.0205809113525789</v>
      </c>
      <c r="AM150" s="32" t="str">
        <f t="shared" si="166"/>
        <v>1-0,00350845451487149i</v>
      </c>
      <c r="AN150" s="32">
        <f t="shared" si="187"/>
        <v>1.0000061546076</v>
      </c>
      <c r="AO150" s="32">
        <f t="shared" si="188"/>
        <v>-0.00350844011949296</v>
      </c>
      <c r="AP150" s="30" t="str">
        <f t="shared" si="189"/>
        <v>19,0357182851954-111,612006396762i</v>
      </c>
      <c r="AQ150" s="32">
        <f t="shared" si="190"/>
        <v>41.0787442506675</v>
      </c>
      <c r="AR150" s="31">
        <f t="shared" si="191"/>
        <v>-80.3211849676881</v>
      </c>
      <c r="AS150" t="str">
        <f t="shared" si="167"/>
        <v>-0,0000504684572142411</v>
      </c>
      <c r="AT150" t="str">
        <f t="shared" si="168"/>
        <v>0,000294973458871357i</v>
      </c>
      <c r="AU150">
        <f t="shared" si="192"/>
        <v>0.000294973458871357</v>
      </c>
      <c r="AV150">
        <f t="shared" si="193"/>
        <v>1.5707963267949</v>
      </c>
      <c r="AW150" t="str">
        <f t="shared" si="169"/>
        <v>1+0,0151021000592881i</v>
      </c>
      <c r="AX150">
        <f t="shared" si="194"/>
        <v>1.00011403021166</v>
      </c>
      <c r="AY150">
        <f t="shared" si="195"/>
        <v>0.0151009520871427</v>
      </c>
      <c r="AZ150" t="str">
        <f t="shared" si="170"/>
        <v>1+0,722008911345111i</v>
      </c>
      <c r="BA150">
        <f t="shared" si="196"/>
        <v>1.23340863790625</v>
      </c>
      <c r="BB150">
        <f t="shared" si="197"/>
        <v>0.625344837963586</v>
      </c>
      <c r="BC150" s="30" t="str">
        <f t="shared" si="198"/>
        <v>-0,120920578044462+0,172921064045943i</v>
      </c>
      <c r="BD150" s="32">
        <f t="shared" si="199"/>
        <v>-13.5141089240691</v>
      </c>
      <c r="BE150" s="31">
        <f t="shared" si="200"/>
        <v>124.964399134383</v>
      </c>
      <c r="BF150" s="30" t="str">
        <f t="shared" si="201"/>
        <v>3,18175079219413+2,85377371057474i</v>
      </c>
      <c r="BG150" s="68">
        <f t="shared" si="202"/>
        <v>12.6168060177603</v>
      </c>
      <c r="BH150" s="31">
        <f t="shared" si="203"/>
        <v>41.8895431994584</v>
      </c>
      <c r="BI150" s="30" t="str">
        <f t="shared" si="156"/>
        <v>16,9982568478933+16,7878649909535i</v>
      </c>
      <c r="BJ150" s="68">
        <f t="shared" si="204"/>
        <v>27.5646353265984</v>
      </c>
      <c r="BK150" s="31">
        <f t="shared" si="157"/>
        <v>44.6432141666954</v>
      </c>
      <c r="BL150" s="32">
        <f t="shared" si="205"/>
        <v>12.6168060177603</v>
      </c>
      <c r="BM150" s="31">
        <f t="shared" si="206"/>
        <v>41.8895431994584</v>
      </c>
      <c r="BO150">
        <f t="shared" si="207"/>
        <v>0</v>
      </c>
      <c r="BP150">
        <f t="shared" si="208"/>
        <v>0</v>
      </c>
    </row>
    <row r="151" spans="14:68">
      <c r="N151" s="7">
        <v>33</v>
      </c>
      <c r="O151" s="18">
        <f t="shared" si="158"/>
        <v>213.796208950223</v>
      </c>
      <c r="P151" s="86" t="str">
        <f t="shared" si="159"/>
        <v>163,636363636364</v>
      </c>
      <c r="Q151" s="4" t="str">
        <f t="shared" si="160"/>
        <v>1+8,20647132361937i</v>
      </c>
      <c r="R151" s="4">
        <f t="shared" si="171"/>
        <v>8.26717434105433</v>
      </c>
      <c r="S151" s="4">
        <f t="shared" si="172"/>
        <v>1.4495390843612</v>
      </c>
      <c r="T151" s="4" t="str">
        <f t="shared" si="161"/>
        <v>1+0,0210632763972897i</v>
      </c>
      <c r="U151" s="4">
        <f t="shared" si="173"/>
        <v>1.0002218062073</v>
      </c>
      <c r="V151" s="4">
        <f t="shared" si="174"/>
        <v>0.0210601622371701</v>
      </c>
      <c r="W151" t="str">
        <f t="shared" si="162"/>
        <v>1-0,0201498179821011i</v>
      </c>
      <c r="X151" s="4">
        <f t="shared" si="175"/>
        <v>1.0002029869805</v>
      </c>
      <c r="Y151" s="4">
        <f t="shared" si="176"/>
        <v>-0.0201470916023522</v>
      </c>
      <c r="Z151" t="str">
        <f t="shared" si="163"/>
        <v>0,999999626866784+0,00417389086772094i</v>
      </c>
      <c r="AA151" s="4">
        <f t="shared" si="177"/>
        <v>1.00000833751458</v>
      </c>
      <c r="AB151" s="4">
        <f t="shared" si="178"/>
        <v>0.00417386818707301</v>
      </c>
      <c r="AC151" s="67" t="str">
        <f t="shared" si="179"/>
        <v>2,33111785566916-19,6640581792482i</v>
      </c>
      <c r="AD151" s="68">
        <f t="shared" si="180"/>
        <v>25.9340713691111</v>
      </c>
      <c r="AE151" s="31">
        <f t="shared" si="181"/>
        <v>-83.2393017107453</v>
      </c>
      <c r="AF151" s="32" t="str">
        <f t="shared" si="182"/>
        <v>748,315388573934</v>
      </c>
      <c r="AG151" s="32" t="str">
        <f t="shared" si="164"/>
        <v>1+6,686754411838i</v>
      </c>
      <c r="AH151" s="32">
        <f t="shared" si="183"/>
        <v>6.76111563014825</v>
      </c>
      <c r="AI151" s="32">
        <f t="shared" si="184"/>
        <v>1.42234710901115</v>
      </c>
      <c r="AJ151" s="32" t="str">
        <f t="shared" si="165"/>
        <v>1+0,0210632763972897i</v>
      </c>
      <c r="AK151" s="32">
        <f t="shared" si="185"/>
        <v>1.0002218062073</v>
      </c>
      <c r="AL151" s="32">
        <f t="shared" si="186"/>
        <v>0.0210601622371701</v>
      </c>
      <c r="AM151" s="32" t="str">
        <f t="shared" si="166"/>
        <v>1-0,00359017691880376i</v>
      </c>
      <c r="AN151" s="32">
        <f t="shared" si="187"/>
        <v>1.00000644466439</v>
      </c>
      <c r="AO151" s="32">
        <f t="shared" si="188"/>
        <v>-0.00359016149388312</v>
      </c>
      <c r="AP151" s="30" t="str">
        <f t="shared" si="189"/>
        <v>18,2838505637658-109,184229196813i</v>
      </c>
      <c r="AQ151" s="32">
        <f t="shared" si="190"/>
        <v>40.8833086054437</v>
      </c>
      <c r="AR151" s="31">
        <f t="shared" si="191"/>
        <v>-80.4935290382919</v>
      </c>
      <c r="AS151" t="str">
        <f t="shared" si="167"/>
        <v>-0,0000504684572142411</v>
      </c>
      <c r="AT151" t="str">
        <f t="shared" si="168"/>
        <v>0,000301844273371874i</v>
      </c>
      <c r="AU151">
        <f t="shared" si="192"/>
        <v>0.000301844273371874</v>
      </c>
      <c r="AV151">
        <f t="shared" si="193"/>
        <v>1.5707963267949</v>
      </c>
      <c r="AW151" t="str">
        <f t="shared" si="169"/>
        <v>1+0,0154538731593922i</v>
      </c>
      <c r="AX151">
        <f t="shared" si="194"/>
        <v>1.00011940396916</v>
      </c>
      <c r="AY151">
        <f t="shared" si="195"/>
        <v>0.0154526430930081</v>
      </c>
      <c r="AZ151" t="str">
        <f t="shared" si="170"/>
        <v>1+0,738826659343706i</v>
      </c>
      <c r="BA151">
        <f t="shared" si="196"/>
        <v>1.24332812746957</v>
      </c>
      <c r="BB151">
        <f t="shared" si="197"/>
        <v>0.636311735907456</v>
      </c>
      <c r="BC151" s="30" t="str">
        <f t="shared" si="198"/>
        <v>-0,120919278607384+0,169068984953476i</v>
      </c>
      <c r="BD151" s="32">
        <f t="shared" si="199"/>
        <v>-13.6445801325287</v>
      </c>
      <c r="BE151" s="31">
        <f t="shared" si="200"/>
        <v>125.572605690589</v>
      </c>
      <c r="BF151" s="30" t="str">
        <f t="shared" si="201"/>
        <v>3,04270526697528+2,77188345919323i</v>
      </c>
      <c r="BG151" s="68">
        <f t="shared" si="202"/>
        <v>12.2894912365824</v>
      </c>
      <c r="BH151" s="31">
        <f t="shared" si="203"/>
        <v>42.3333039798438</v>
      </c>
      <c r="BI151" s="30" t="str">
        <f t="shared" si="156"/>
        <v>16,2487967828971+16,2937102856388i</v>
      </c>
      <c r="BJ151" s="68">
        <f t="shared" si="204"/>
        <v>27.238728472915</v>
      </c>
      <c r="BK151" s="31">
        <f t="shared" si="157"/>
        <v>45.0790766522971</v>
      </c>
      <c r="BL151" s="32">
        <f t="shared" si="205"/>
        <v>12.2894912365824</v>
      </c>
      <c r="BM151" s="31">
        <f t="shared" si="206"/>
        <v>42.3333039798438</v>
      </c>
      <c r="BO151">
        <f t="shared" si="207"/>
        <v>0</v>
      </c>
      <c r="BP151">
        <f t="shared" si="208"/>
        <v>0</v>
      </c>
    </row>
    <row r="152" spans="14:68">
      <c r="N152" s="7">
        <v>34</v>
      </c>
      <c r="O152" s="18">
        <f t="shared" si="158"/>
        <v>218.776162394955</v>
      </c>
      <c r="P152" s="86" t="str">
        <f t="shared" si="159"/>
        <v>163,636363636364</v>
      </c>
      <c r="Q152" s="4" t="str">
        <f t="shared" si="160"/>
        <v>1+8,39762459681267i</v>
      </c>
      <c r="R152" s="4">
        <f t="shared" si="171"/>
        <v>8.45695565017301</v>
      </c>
      <c r="S152" s="4">
        <f t="shared" si="172"/>
        <v>1.45227316381178</v>
      </c>
      <c r="T152" s="4" t="str">
        <f t="shared" si="161"/>
        <v>1+0,0215539031318192i</v>
      </c>
      <c r="U152" s="4">
        <f t="shared" si="173"/>
        <v>1.00023225839813</v>
      </c>
      <c r="V152" s="4">
        <f t="shared" si="174"/>
        <v>0.0215505662909782</v>
      </c>
      <c r="W152" t="str">
        <f t="shared" si="162"/>
        <v>1-0,0206191675368168i</v>
      </c>
      <c r="X152" s="4">
        <f t="shared" si="175"/>
        <v>1.00021255244568</v>
      </c>
      <c r="Y152" s="4">
        <f t="shared" si="176"/>
        <v>-0.0206162462018108</v>
      </c>
      <c r="Z152" t="str">
        <f t="shared" si="163"/>
        <v>0,999999609281557+0,00427111327548348i</v>
      </c>
      <c r="AA152" s="4">
        <f t="shared" si="177"/>
        <v>1.00000873044783</v>
      </c>
      <c r="AB152" s="4">
        <f t="shared" si="178"/>
        <v>0.00427108897274282</v>
      </c>
      <c r="AC152" s="67" t="str">
        <f t="shared" si="179"/>
        <v>2,22482331725814-19,2294848573703i</v>
      </c>
      <c r="AD152" s="68">
        <f t="shared" si="180"/>
        <v>25.7371026534601</v>
      </c>
      <c r="AE152" s="31">
        <f t="shared" si="181"/>
        <v>-83.4003057607659</v>
      </c>
      <c r="AF152" s="32" t="str">
        <f t="shared" si="182"/>
        <v>748,315388573934</v>
      </c>
      <c r="AG152" s="32" t="str">
        <f t="shared" si="164"/>
        <v>1+6,84250893073625i</v>
      </c>
      <c r="AH152" s="32">
        <f t="shared" si="183"/>
        <v>6.9151954757046</v>
      </c>
      <c r="AI152" s="32">
        <f t="shared" si="184"/>
        <v>1.42567844651818</v>
      </c>
      <c r="AJ152" s="32" t="str">
        <f t="shared" si="165"/>
        <v>1+0,0215539031318192i</v>
      </c>
      <c r="AK152" s="32">
        <f t="shared" si="185"/>
        <v>1.00023225839813</v>
      </c>
      <c r="AL152" s="32">
        <f t="shared" si="186"/>
        <v>0.0215505662909782</v>
      </c>
      <c r="AM152" s="32" t="str">
        <f t="shared" si="166"/>
        <v>1-0,00367380288206i</v>
      </c>
      <c r="AN152" s="32">
        <f t="shared" si="187"/>
        <v>1.00000674839104</v>
      </c>
      <c r="AO152" s="32">
        <f t="shared" si="188"/>
        <v>-0.00367378635396578</v>
      </c>
      <c r="AP152" s="30" t="str">
        <f t="shared" si="189"/>
        <v>17,5643738200609-106,804430560417i</v>
      </c>
      <c r="AQ152" s="32">
        <f t="shared" si="190"/>
        <v>40.6876800563132</v>
      </c>
      <c r="AR152" s="31">
        <f t="shared" si="191"/>
        <v>-80.6610938865844</v>
      </c>
      <c r="AS152" t="str">
        <f t="shared" si="167"/>
        <v>-0,0000504684572142411</v>
      </c>
      <c r="AT152" t="str">
        <f t="shared" si="168"/>
        <v>0,000308875129701515i</v>
      </c>
      <c r="AU152">
        <f t="shared" si="192"/>
        <v>0.000308875129701515</v>
      </c>
      <c r="AV152">
        <f t="shared" si="193"/>
        <v>1.5707963267949</v>
      </c>
      <c r="AW152" t="str">
        <f t="shared" si="169"/>
        <v>1+0,0158138401076017i</v>
      </c>
      <c r="AX152">
        <f t="shared" si="194"/>
        <v>1.0001250309531</v>
      </c>
      <c r="AY152">
        <f t="shared" si="195"/>
        <v>0.0158125220766235</v>
      </c>
      <c r="AZ152" t="str">
        <f t="shared" si="170"/>
        <v>1+0,756036143016615i</v>
      </c>
      <c r="BA152">
        <f t="shared" si="196"/>
        <v>1.25363098619468</v>
      </c>
      <c r="BB152">
        <f t="shared" si="197"/>
        <v>0.6473530607696</v>
      </c>
      <c r="BC152" s="30" t="str">
        <f t="shared" si="198"/>
        <v>-0,120917917959656+0,165306546581887i</v>
      </c>
      <c r="BD152" s="32">
        <f t="shared" si="199"/>
        <v>-13.7729498132455</v>
      </c>
      <c r="BE152" s="31">
        <f t="shared" si="200"/>
        <v>126.184607458526</v>
      </c>
      <c r="BF152" s="30" t="str">
        <f t="shared" si="201"/>
        <v>2,90973873096962+2,69296713172075i</v>
      </c>
      <c r="BG152" s="68">
        <f t="shared" si="202"/>
        <v>11.9641528402146</v>
      </c>
      <c r="BH152" s="31">
        <f t="shared" si="203"/>
        <v>42.7843016977602</v>
      </c>
      <c r="BI152" s="30" t="str">
        <f t="shared" si="156"/>
        <v>15,5316240630006+15,8180753512999i</v>
      </c>
      <c r="BJ152" s="68">
        <f t="shared" si="204"/>
        <v>26.9147302430677</v>
      </c>
      <c r="BK152" s="31">
        <f t="shared" si="157"/>
        <v>45.5235135719418</v>
      </c>
      <c r="BL152" s="32">
        <f t="shared" si="205"/>
        <v>11.9641528402146</v>
      </c>
      <c r="BM152" s="31">
        <f t="shared" si="206"/>
        <v>42.7843016977602</v>
      </c>
      <c r="BO152">
        <f t="shared" si="207"/>
        <v>0</v>
      </c>
      <c r="BP152">
        <f t="shared" si="208"/>
        <v>0</v>
      </c>
    </row>
    <row r="153" spans="14:68">
      <c r="N153" s="7">
        <v>35</v>
      </c>
      <c r="O153" s="18">
        <f t="shared" si="158"/>
        <v>223.872113856834</v>
      </c>
      <c r="P153" s="86" t="str">
        <f t="shared" si="159"/>
        <v>163,636363636364</v>
      </c>
      <c r="Q153" s="4" t="str">
        <f t="shared" si="160"/>
        <v>1+8,59323040172286i</v>
      </c>
      <c r="R153" s="4">
        <f t="shared" si="171"/>
        <v>8.65122007216867</v>
      </c>
      <c r="S153" s="4">
        <f t="shared" si="172"/>
        <v>1.45494672940451</v>
      </c>
      <c r="T153" s="4" t="str">
        <f t="shared" si="161"/>
        <v>1+0,0220559580310887i</v>
      </c>
      <c r="U153" s="4">
        <f t="shared" si="173"/>
        <v>1.00024320306847</v>
      </c>
      <c r="V153" s="4">
        <f t="shared" si="174"/>
        <v>0.0220523825886605</v>
      </c>
      <c r="W153" t="str">
        <f t="shared" si="162"/>
        <v>1-0,0210994496470874i</v>
      </c>
      <c r="X153" s="4">
        <f t="shared" si="175"/>
        <v>1.00022256861931</v>
      </c>
      <c r="Y153" s="4">
        <f t="shared" si="176"/>
        <v>-0.0210963194178498</v>
      </c>
      <c r="Z153" t="str">
        <f t="shared" si="163"/>
        <v>0,999999590867564+0,00437060028403952i</v>
      </c>
      <c r="AA153" s="4">
        <f t="shared" si="177"/>
        <v>1.00000914189928</v>
      </c>
      <c r="AB153" s="4">
        <f t="shared" si="178"/>
        <v>0.00437057424319658</v>
      </c>
      <c r="AC153" s="67" t="str">
        <f t="shared" si="179"/>
        <v>2,12318182083965-18,8039828249063i</v>
      </c>
      <c r="AD153" s="68">
        <f t="shared" si="180"/>
        <v>25.5400149660138</v>
      </c>
      <c r="AE153" s="31">
        <f t="shared" si="181"/>
        <v>-83.5579440847893</v>
      </c>
      <c r="AF153" s="32" t="str">
        <f t="shared" si="182"/>
        <v>748,315388573934</v>
      </c>
      <c r="AG153" s="32" t="str">
        <f t="shared" si="164"/>
        <v>1+7,00189143844084i</v>
      </c>
      <c r="AH153" s="32">
        <f t="shared" si="183"/>
        <v>7.07294024545034</v>
      </c>
      <c r="AI153" s="32">
        <f t="shared" si="184"/>
        <v>1.42893709094507</v>
      </c>
      <c r="AJ153" s="32" t="str">
        <f t="shared" si="165"/>
        <v>1+0,0220559580310887i</v>
      </c>
      <c r="AK153" s="32">
        <f t="shared" si="185"/>
        <v>1.00024320306847</v>
      </c>
      <c r="AL153" s="32">
        <f t="shared" si="186"/>
        <v>0.0220523825886605</v>
      </c>
      <c r="AM153" s="32" t="str">
        <f t="shared" si="166"/>
        <v>1-0,00375937674423282i</v>
      </c>
      <c r="AN153" s="32">
        <f t="shared" si="187"/>
        <v>1.00000706643179</v>
      </c>
      <c r="AO153" s="32">
        <f t="shared" si="188"/>
        <v>-0.00375935903406754</v>
      </c>
      <c r="AP153" s="30" t="str">
        <f t="shared" si="189"/>
        <v>16,8759537722363-104,471982898097i</v>
      </c>
      <c r="AQ153" s="32">
        <f t="shared" si="190"/>
        <v>40.4918673009739</v>
      </c>
      <c r="AR153" s="31">
        <f t="shared" si="191"/>
        <v>-80.8239514566426</v>
      </c>
      <c r="AS153" t="str">
        <f t="shared" si="167"/>
        <v>-0,0000504684572142411</v>
      </c>
      <c r="AT153" t="str">
        <f t="shared" si="168"/>
        <v>0,00031606975571337i</v>
      </c>
      <c r="AU153">
        <f t="shared" si="192"/>
        <v>0.00031606975571337</v>
      </c>
      <c r="AV153">
        <f t="shared" si="193"/>
        <v>1.5707963267949</v>
      </c>
      <c r="AW153" t="str">
        <f t="shared" si="169"/>
        <v>1+0,016182191763157i</v>
      </c>
      <c r="AX153">
        <f t="shared" si="194"/>
        <v>1.0001309230947</v>
      </c>
      <c r="AY153">
        <f t="shared" si="195"/>
        <v>0.0161807794775039</v>
      </c>
      <c r="AZ153" t="str">
        <f t="shared" si="170"/>
        <v>1+0,773646487059869i</v>
      </c>
      <c r="BA153">
        <f t="shared" si="196"/>
        <v>1.26432942184388</v>
      </c>
      <c r="BB153">
        <f t="shared" si="197"/>
        <v>0.658463898726759</v>
      </c>
      <c r="BC153" s="30" t="str">
        <f t="shared" si="198"/>
        <v>-0,120916493219396+0,161631753901244i</v>
      </c>
      <c r="BD153" s="32">
        <f t="shared" si="199"/>
        <v>-13.8991904596184</v>
      </c>
      <c r="BE153" s="31">
        <f t="shared" si="200"/>
        <v>126.80011198548</v>
      </c>
      <c r="BF153" s="30" t="str">
        <f t="shared" si="201"/>
        <v>2,78259302407537+2,61688526329897i</v>
      </c>
      <c r="BG153" s="68">
        <f t="shared" si="202"/>
        <v>11.6408245063953</v>
      </c>
      <c r="BH153" s="31">
        <f t="shared" si="203"/>
        <v>43.2421679006908</v>
      </c>
      <c r="BI153" s="30" t="str">
        <f t="shared" si="156"/>
        <v>14,8454086794887+15,3600758186775i</v>
      </c>
      <c r="BJ153" s="68">
        <f t="shared" si="204"/>
        <v>26.5926768413555</v>
      </c>
      <c r="BK153" s="31">
        <f t="shared" si="157"/>
        <v>45.9761605288376</v>
      </c>
      <c r="BL153" s="32">
        <f t="shared" si="205"/>
        <v>11.6408245063953</v>
      </c>
      <c r="BM153" s="31">
        <f t="shared" si="206"/>
        <v>43.2421679006908</v>
      </c>
      <c r="BO153">
        <f t="shared" si="207"/>
        <v>0</v>
      </c>
      <c r="BP153">
        <f t="shared" si="208"/>
        <v>0</v>
      </c>
    </row>
    <row r="154" spans="14:68">
      <c r="N154" s="7">
        <v>36</v>
      </c>
      <c r="O154" s="18">
        <f t="shared" si="158"/>
        <v>229.086765276777</v>
      </c>
      <c r="P154" s="86" t="str">
        <f t="shared" si="159"/>
        <v>163,636363636364</v>
      </c>
      <c r="Q154" s="4" t="str">
        <f t="shared" si="160"/>
        <v>1+8,79339245113692i</v>
      </c>
      <c r="R154" s="4">
        <f t="shared" si="171"/>
        <v>8.85007066636825</v>
      </c>
      <c r="S154" s="4">
        <f t="shared" si="172"/>
        <v>1.4575610457327</v>
      </c>
      <c r="T154" s="4" t="str">
        <f t="shared" si="161"/>
        <v>1+0,0225697072912514i</v>
      </c>
      <c r="U154" s="4">
        <f t="shared" si="173"/>
        <v>1.00025466341688</v>
      </c>
      <c r="V154" s="4">
        <f t="shared" si="174"/>
        <v>0.0225658761883434</v>
      </c>
      <c r="W154" t="str">
        <f t="shared" si="162"/>
        <v>1-0,0215909189648451i</v>
      </c>
      <c r="X154" s="4">
        <f t="shared" si="175"/>
        <v>1.00023305673315</v>
      </c>
      <c r="Y154" s="4">
        <f t="shared" si="176"/>
        <v>-0.0215875649059944</v>
      </c>
      <c r="Z154" t="str">
        <f t="shared" si="163"/>
        <v>0,999999571585747+0,00447240464271791i</v>
      </c>
      <c r="AA154" s="4">
        <f t="shared" si="177"/>
        <v>1.00000957274166</v>
      </c>
      <c r="AB154" s="4">
        <f t="shared" si="178"/>
        <v>0.0044723767394664</v>
      </c>
      <c r="AC154" s="67" t="str">
        <f t="shared" si="179"/>
        <v>2,02599522579756-18,3873995413878i</v>
      </c>
      <c r="AD154" s="68">
        <f t="shared" si="180"/>
        <v>25.342814247817</v>
      </c>
      <c r="AE154" s="31">
        <f t="shared" si="181"/>
        <v>-83.712291507194</v>
      </c>
      <c r="AF154" s="32" t="str">
        <f t="shared" si="182"/>
        <v>748,315388573934</v>
      </c>
      <c r="AG154" s="32" t="str">
        <f t="shared" si="164"/>
        <v>1+7,16498644166712i</v>
      </c>
      <c r="AH154" s="32">
        <f t="shared" si="183"/>
        <v>7.23443368269235</v>
      </c>
      <c r="AI154" s="32">
        <f t="shared" si="184"/>
        <v>1.43212449310172</v>
      </c>
      <c r="AJ154" s="32" t="str">
        <f t="shared" si="165"/>
        <v>1+0,0225697072912514i</v>
      </c>
      <c r="AK154" s="32">
        <f t="shared" si="185"/>
        <v>1.00025466341688</v>
      </c>
      <c r="AL154" s="32">
        <f t="shared" si="186"/>
        <v>0.0225658761883434</v>
      </c>
      <c r="AM154" s="32" t="str">
        <f t="shared" si="166"/>
        <v>1-0,00384694387771668i</v>
      </c>
      <c r="AN154" s="32">
        <f t="shared" si="187"/>
        <v>1.00000739946122</v>
      </c>
      <c r="AO154" s="32">
        <f t="shared" si="188"/>
        <v>-0.00384692490094027</v>
      </c>
      <c r="AP154" s="30" t="str">
        <f t="shared" si="189"/>
        <v>16,2173058114672-102,186244280555i</v>
      </c>
      <c r="AQ154" s="32">
        <f t="shared" si="190"/>
        <v>40.2958786955733</v>
      </c>
      <c r="AR154" s="31">
        <f t="shared" si="191"/>
        <v>-80.9821722863615</v>
      </c>
      <c r="AS154" t="str">
        <f t="shared" si="167"/>
        <v>-0,0000504684572142411</v>
      </c>
      <c r="AT154" t="str">
        <f t="shared" si="168"/>
        <v>0,00032343196609338i</v>
      </c>
      <c r="AU154">
        <f t="shared" si="192"/>
        <v>0.00032343196609338</v>
      </c>
      <c r="AV154">
        <f t="shared" si="193"/>
        <v>1.5707963267949</v>
      </c>
      <c r="AW154" t="str">
        <f t="shared" si="169"/>
        <v>1+0,0165591234309819i</v>
      </c>
      <c r="AX154">
        <f t="shared" si="194"/>
        <v>1.00013709288717</v>
      </c>
      <c r="AY154">
        <f t="shared" si="195"/>
        <v>0.0165576101508431</v>
      </c>
      <c r="AZ154" t="str">
        <f t="shared" si="170"/>
        <v>1+0,791667028710986i</v>
      </c>
      <c r="BA154">
        <f t="shared" si="196"/>
        <v>1.27543588013984</v>
      </c>
      <c r="BB154">
        <f t="shared" si="197"/>
        <v>0.669639168235326</v>
      </c>
      <c r="BC154" s="30" t="str">
        <f t="shared" si="198"/>
        <v>-0,120915001369182+0,158042658342852i</v>
      </c>
      <c r="BD154" s="32">
        <f t="shared" si="199"/>
        <v>-14.0232763254786</v>
      </c>
      <c r="BE154" s="31">
        <f t="shared" si="200"/>
        <v>127.418816956069</v>
      </c>
      <c r="BF154" s="30" t="str">
        <f t="shared" si="201"/>
        <v>2,6610202880318+2,54350611199758i</v>
      </c>
      <c r="BG154" s="68">
        <f t="shared" si="202"/>
        <v>11.3195379223384</v>
      </c>
      <c r="BH154" s="31">
        <f t="shared" si="203"/>
        <v>43.7065254488749</v>
      </c>
      <c r="BI154" s="30" t="str">
        <f t="shared" si="156"/>
        <v>14,188870137773+14,9188759886981i</v>
      </c>
      <c r="BJ154" s="68">
        <f t="shared" si="204"/>
        <v>26.2726023700947</v>
      </c>
      <c r="BK154" s="31">
        <f t="shared" si="157"/>
        <v>46.4366446697072</v>
      </c>
      <c r="BL154" s="32">
        <f t="shared" si="205"/>
        <v>11.3195379223384</v>
      </c>
      <c r="BM154" s="31">
        <f t="shared" si="206"/>
        <v>43.7065254488749</v>
      </c>
      <c r="BO154">
        <f t="shared" si="207"/>
        <v>0</v>
      </c>
      <c r="BP154">
        <f t="shared" si="208"/>
        <v>0</v>
      </c>
    </row>
    <row r="155" spans="14:68">
      <c r="N155" s="7">
        <v>37</v>
      </c>
      <c r="O155" s="18">
        <f t="shared" si="158"/>
        <v>234.422881531992</v>
      </c>
      <c r="P155" s="86" t="str">
        <f t="shared" si="159"/>
        <v>163,636363636364</v>
      </c>
      <c r="Q155" s="4" t="str">
        <f t="shared" si="160"/>
        <v>1+8,99821687362291i</v>
      </c>
      <c r="R155" s="4">
        <f t="shared" si="171"/>
        <v>9.05361291997576</v>
      </c>
      <c r="S155" s="4">
        <f t="shared" si="172"/>
        <v>1.46011735592077</v>
      </c>
      <c r="T155" s="4" t="str">
        <f t="shared" si="161"/>
        <v>1+0,0230954233089655i</v>
      </c>
      <c r="U155" s="4">
        <f t="shared" si="173"/>
        <v>1.00026666373414</v>
      </c>
      <c r="V155" s="4">
        <f t="shared" si="174"/>
        <v>0.0230913182673437</v>
      </c>
      <c r="W155" t="str">
        <f t="shared" si="162"/>
        <v>1-0,0220938360736277i</v>
      </c>
      <c r="X155" s="4">
        <f t="shared" si="175"/>
        <v>1.0002440390187</v>
      </c>
      <c r="Y155" s="4">
        <f t="shared" si="176"/>
        <v>-0.0220902421821741</v>
      </c>
      <c r="Z155" t="str">
        <f t="shared" si="163"/>
        <v>0,999999551395205+0,00457658032953716i</v>
      </c>
      <c r="AA155" s="4">
        <f t="shared" si="177"/>
        <v>1.00001002388882</v>
      </c>
      <c r="AB155" s="4">
        <f t="shared" si="178"/>
        <v>0.00457655043068066</v>
      </c>
      <c r="AC155" s="67" t="str">
        <f t="shared" si="179"/>
        <v>1,93307334442243-17,9795825298129i</v>
      </c>
      <c r="AD155" s="68">
        <f t="shared" si="180"/>
        <v>25.1455062205074</v>
      </c>
      <c r="AE155" s="31">
        <f t="shared" si="181"/>
        <v>-83.8634216778162</v>
      </c>
      <c r="AF155" s="32" t="str">
        <f t="shared" si="182"/>
        <v>748,315388573934</v>
      </c>
      <c r="AG155" s="32" t="str">
        <f t="shared" si="164"/>
        <v>1+7,33188041554459i</v>
      </c>
      <c r="AH155" s="32">
        <f t="shared" si="183"/>
        <v>7.399761511552</v>
      </c>
      <c r="AI155" s="32">
        <f t="shared" si="184"/>
        <v>1.43524208379513</v>
      </c>
      <c r="AJ155" s="32" t="str">
        <f t="shared" si="165"/>
        <v>1+0,0230954233089655i</v>
      </c>
      <c r="AK155" s="32">
        <f t="shared" si="185"/>
        <v>1.00026666373414</v>
      </c>
      <c r="AL155" s="32">
        <f t="shared" si="186"/>
        <v>0.0230913182673437</v>
      </c>
      <c r="AM155" s="32" t="str">
        <f t="shared" si="166"/>
        <v>1-0,00393655071176483i</v>
      </c>
      <c r="AN155" s="32">
        <f t="shared" si="187"/>
        <v>1.00000774818574</v>
      </c>
      <c r="AO155" s="32">
        <f t="shared" si="188"/>
        <v>-0.00393653037779107</v>
      </c>
      <c r="AP155" s="30" t="str">
        <f t="shared" si="189"/>
        <v>15,5871936182989-99,9465604310948i</v>
      </c>
      <c r="AQ155" s="32">
        <f t="shared" si="190"/>
        <v>40.0997222682705</v>
      </c>
      <c r="AR155" s="31">
        <f t="shared" si="191"/>
        <v>-81.1358254774832</v>
      </c>
      <c r="AS155" t="str">
        <f t="shared" si="167"/>
        <v>-0,0000504684572142411</v>
      </c>
      <c r="AT155" t="str">
        <f t="shared" si="168"/>
        <v>0,000330965664382943i</v>
      </c>
      <c r="AU155">
        <f t="shared" si="192"/>
        <v>0.000330965664382943</v>
      </c>
      <c r="AV155">
        <f t="shared" si="193"/>
        <v>1.5707963267949</v>
      </c>
      <c r="AW155" t="str">
        <f t="shared" si="169"/>
        <v>1+0,0169448349652359i</v>
      </c>
      <c r="AX155">
        <f t="shared" si="194"/>
        <v>1.00014355341221</v>
      </c>
      <c r="AY155">
        <f t="shared" si="195"/>
        <v>0.0169432134689226</v>
      </c>
      <c r="AZ155" t="str">
        <f t="shared" si="170"/>
        <v>1+0,81010732269968i</v>
      </c>
      <c r="BA155">
        <f t="shared" si="196"/>
        <v>1.28696304309473</v>
      </c>
      <c r="BB155">
        <f t="shared" si="197"/>
        <v>0.680873629994435</v>
      </c>
      <c r="BC155" s="30" t="str">
        <f t="shared" si="198"/>
        <v>-0,120913439249688+0,154537356765404i</v>
      </c>
      <c r="BD155" s="32">
        <f t="shared" si="199"/>
        <v>-14.1451835235862</v>
      </c>
      <c r="BE155" s="31">
        <f t="shared" si="200"/>
        <v>128.040410757275</v>
      </c>
      <c r="BF155" s="30" t="str">
        <f t="shared" si="201"/>
        <v>2,54478261350671+2,47270520503399i</v>
      </c>
      <c r="BG155" s="68">
        <f t="shared" si="202"/>
        <v>11.0003226969212</v>
      </c>
      <c r="BH155" s="31">
        <f t="shared" si="203"/>
        <v>44.1769890794584</v>
      </c>
      <c r="BI155" s="30" t="str">
        <f t="shared" si="156"/>
        <v>13,5607760781758+14,4936860640629i</v>
      </c>
      <c r="BJ155" s="68">
        <f t="shared" si="204"/>
        <v>25.9545387446843</v>
      </c>
      <c r="BK155" s="31">
        <f t="shared" si="157"/>
        <v>46.9045852797914</v>
      </c>
      <c r="BL155" s="32">
        <f t="shared" si="205"/>
        <v>11.0003226969212</v>
      </c>
      <c r="BM155" s="31">
        <f t="shared" si="206"/>
        <v>44.1769890794584</v>
      </c>
      <c r="BO155">
        <f t="shared" si="207"/>
        <v>0</v>
      </c>
      <c r="BP155">
        <f t="shared" si="208"/>
        <v>0</v>
      </c>
    </row>
    <row r="156" spans="14:68">
      <c r="N156" s="7">
        <v>38</v>
      </c>
      <c r="O156" s="18">
        <f t="shared" si="158"/>
        <v>239.883291901949</v>
      </c>
      <c r="P156" s="86" t="str">
        <f t="shared" si="159"/>
        <v>163,636363636364</v>
      </c>
      <c r="Q156" s="4" t="str">
        <f t="shared" si="160"/>
        <v>1+9,2078122698008i</v>
      </c>
      <c r="R156" s="4">
        <f t="shared" si="171"/>
        <v>9.26195480424592</v>
      </c>
      <c r="S156" s="4">
        <f t="shared" si="172"/>
        <v>1.46261688164759</v>
      </c>
      <c r="T156" s="4" t="str">
        <f t="shared" si="161"/>
        <v>1+0,023633384825822i</v>
      </c>
      <c r="U156" s="4">
        <f t="shared" si="173"/>
        <v>1.00027922945462</v>
      </c>
      <c r="V156" s="4">
        <f t="shared" si="174"/>
        <v>0.0236289862607894</v>
      </c>
      <c r="W156" t="str">
        <f t="shared" si="162"/>
        <v>1-0,022608467626743i</v>
      </c>
      <c r="X156" s="4">
        <f t="shared" si="175"/>
        <v>1.00025553875419</v>
      </c>
      <c r="Y156" s="4">
        <f t="shared" si="176"/>
        <v>-0.022604616755802</v>
      </c>
      <c r="Z156" t="str">
        <f t="shared" si="163"/>
        <v>0,999999530253112+0,00468318257982534i</v>
      </c>
      <c r="AA156" s="4">
        <f t="shared" si="177"/>
        <v>1.00001049629767</v>
      </c>
      <c r="AB156" s="4">
        <f t="shared" si="178"/>
        <v>0.00468315054264155</v>
      </c>
      <c r="AC156" s="67" t="str">
        <f t="shared" si="179"/>
        <v>1,8442336652114-17,5803795848325i</v>
      </c>
      <c r="AD156" s="68">
        <f t="shared" si="180"/>
        <v>24.9480963966978</v>
      </c>
      <c r="AE156" s="31">
        <f t="shared" si="181"/>
        <v>-84.0114070746124</v>
      </c>
      <c r="AF156" s="32" t="str">
        <f t="shared" si="182"/>
        <v>748,315388573934</v>
      </c>
      <c r="AG156" s="32" t="str">
        <f t="shared" si="164"/>
        <v>1+7,50266184946731i</v>
      </c>
      <c r="AH156" s="32">
        <f t="shared" si="183"/>
        <v>7.56901148284584</v>
      </c>
      <c r="AI156" s="32">
        <f t="shared" si="184"/>
        <v>1.43829127347752</v>
      </c>
      <c r="AJ156" s="32" t="str">
        <f t="shared" si="165"/>
        <v>1+0,023633384825822i</v>
      </c>
      <c r="AK156" s="32">
        <f t="shared" si="185"/>
        <v>1.00027922945462</v>
      </c>
      <c r="AL156" s="32">
        <f t="shared" si="186"/>
        <v>0.0236289862607894</v>
      </c>
      <c r="AM156" s="32" t="str">
        <f t="shared" si="166"/>
        <v>1-0,00402824475710679i</v>
      </c>
      <c r="AN156" s="32">
        <f t="shared" si="187"/>
        <v>1.000008113345</v>
      </c>
      <c r="AO156" s="32">
        <f t="shared" si="188"/>
        <v>-0.0040282229688709</v>
      </c>
      <c r="AP156" s="30" t="str">
        <f t="shared" si="189"/>
        <v>14,9844277738582-97,7522665864575i</v>
      </c>
      <c r="AQ156" s="32">
        <f t="shared" si="190"/>
        <v>39.9034057324483</v>
      </c>
      <c r="AR156" s="31">
        <f t="shared" si="191"/>
        <v>-81.2849786688968</v>
      </c>
      <c r="AS156" t="str">
        <f t="shared" si="167"/>
        <v>-0,0000504684572142411</v>
      </c>
      <c r="AT156" t="str">
        <f t="shared" si="168"/>
        <v>0,00033867484504861i</v>
      </c>
      <c r="AU156">
        <f t="shared" si="192"/>
        <v>0.00033867484504861</v>
      </c>
      <c r="AV156">
        <f t="shared" si="193"/>
        <v>1.5707963267949</v>
      </c>
      <c r="AW156" t="str">
        <f t="shared" si="169"/>
        <v>1+0,0173395308752798i</v>
      </c>
      <c r="AX156">
        <f t="shared" si="194"/>
        <v>1.00015031836768</v>
      </c>
      <c r="AY156">
        <f t="shared" si="195"/>
        <v>0.01733779342478</v>
      </c>
      <c r="AZ156" t="str">
        <f t="shared" si="170"/>
        <v>1+0,828977146313909i</v>
      </c>
      <c r="BA156">
        <f t="shared" si="196"/>
        <v>1.29892382729348</v>
      </c>
      <c r="BB156">
        <f t="shared" si="197"/>
        <v>0.692161897814753</v>
      </c>
      <c r="BC156" s="30" t="str">
        <f t="shared" si="198"/>
        <v>-0,120911803553031+0,151113990445173i</v>
      </c>
      <c r="BD156" s="32">
        <f t="shared" si="199"/>
        <v>-14.2648901187422</v>
      </c>
      <c r="BE156" s="31">
        <f t="shared" si="200"/>
        <v>128.664573095241</v>
      </c>
      <c r="BF156" s="30" t="str">
        <f t="shared" si="201"/>
        <v>2,43365169397097+2,40436491121241i</v>
      </c>
      <c r="BG156" s="68">
        <f t="shared" si="202"/>
        <v>10.6832062779557</v>
      </c>
      <c r="BH156" s="31">
        <f t="shared" si="203"/>
        <v>44.6531660206287</v>
      </c>
      <c r="BI156" s="30" t="str">
        <f t="shared" si="156"/>
        <v>12,9599408915926+14,0837595298105i</v>
      </c>
      <c r="BJ156" s="68">
        <f t="shared" si="204"/>
        <v>25.6385156137061</v>
      </c>
      <c r="BK156" s="31">
        <f t="shared" si="157"/>
        <v>47.3795944263445</v>
      </c>
      <c r="BL156" s="32">
        <f t="shared" si="205"/>
        <v>10.6832062779557</v>
      </c>
      <c r="BM156" s="31">
        <f t="shared" si="206"/>
        <v>44.6531660206287</v>
      </c>
      <c r="BO156">
        <f t="shared" si="207"/>
        <v>0</v>
      </c>
      <c r="BP156">
        <f t="shared" si="208"/>
        <v>0</v>
      </c>
    </row>
    <row r="157" spans="14:68">
      <c r="N157" s="7">
        <v>39</v>
      </c>
      <c r="O157" s="18">
        <f t="shared" si="158"/>
        <v>245.470891568503</v>
      </c>
      <c r="P157" s="86" t="str">
        <f t="shared" si="159"/>
        <v>163,636363636364</v>
      </c>
      <c r="Q157" s="4" t="str">
        <f t="shared" si="160"/>
        <v>1+9,42228976992388i</v>
      </c>
      <c r="R157" s="4">
        <f t="shared" si="171"/>
        <v>9.47520683195951</v>
      </c>
      <c r="S157" s="4">
        <f t="shared" si="172"/>
        <v>1.46506082319805</v>
      </c>
      <c r="T157" s="4" t="str">
        <f t="shared" si="161"/>
        <v>1+0,0241838770761379i</v>
      </c>
      <c r="U157" s="4">
        <f t="shared" si="173"/>
        <v>1.00029238721008</v>
      </c>
      <c r="V157" s="4">
        <f t="shared" si="174"/>
        <v>0.0241791640031929</v>
      </c>
      <c r="W157" t="str">
        <f t="shared" si="162"/>
        <v>1-0,0231350864886524i</v>
      </c>
      <c r="X157" s="4">
        <f t="shared" si="175"/>
        <v>1.00026758031381</v>
      </c>
      <c r="Y157" s="4">
        <f t="shared" si="176"/>
        <v>-0.0231309602657107</v>
      </c>
      <c r="Z157" t="str">
        <f t="shared" si="163"/>
        <v>0,999999508114624+0,00479226791550656i</v>
      </c>
      <c r="AA157" s="4">
        <f t="shared" si="177"/>
        <v>1.00001099097023</v>
      </c>
      <c r="AB157" s="4">
        <f t="shared" si="178"/>
        <v>0.00479223358706601</v>
      </c>
      <c r="AC157" s="67" t="str">
        <f t="shared" si="179"/>
        <v>1,7593010819247-17,1896389641279i</v>
      </c>
      <c r="AD157" s="68">
        <f t="shared" si="180"/>
        <v>24.7505900900617</v>
      </c>
      <c r="AE157" s="31">
        <f t="shared" si="181"/>
        <v>-84.1563190079625</v>
      </c>
      <c r="AF157" s="32" t="str">
        <f t="shared" si="182"/>
        <v>748,315388573934</v>
      </c>
      <c r="AG157" s="32" t="str">
        <f t="shared" si="164"/>
        <v>1+7,67742129401204i</v>
      </c>
      <c r="AH157" s="32">
        <f t="shared" si="183"/>
        <v>7.74227342101462</v>
      </c>
      <c r="AI157" s="32">
        <f t="shared" si="184"/>
        <v>1.44127345194974</v>
      </c>
      <c r="AJ157" s="32" t="str">
        <f t="shared" si="165"/>
        <v>1+0,0241838770761379i</v>
      </c>
      <c r="AK157" s="32">
        <f t="shared" si="185"/>
        <v>1.00029238721008</v>
      </c>
      <c r="AL157" s="32">
        <f t="shared" si="186"/>
        <v>0.0241791640031929</v>
      </c>
      <c r="AM157" s="32" t="str">
        <f t="shared" si="166"/>
        <v>1-0,00412207463113905i</v>
      </c>
      <c r="AN157" s="32">
        <f t="shared" si="187"/>
        <v>1.00000849571354</v>
      </c>
      <c r="AO157" s="32">
        <f t="shared" si="188"/>
        <v>-0.00412205128463438</v>
      </c>
      <c r="AP157" s="30" t="str">
        <f t="shared" si="189"/>
        <v>14,4078643711723-95,6026892323525i</v>
      </c>
      <c r="AQ157" s="32">
        <f t="shared" si="190"/>
        <v>39.7069364995732</v>
      </c>
      <c r="AR157" s="31">
        <f t="shared" si="191"/>
        <v>-81.4296980129795</v>
      </c>
      <c r="AS157" t="str">
        <f t="shared" si="167"/>
        <v>-0,0000504684572142411</v>
      </c>
      <c r="AT157" t="str">
        <f t="shared" si="168"/>
        <v>0,000346563595600013i</v>
      </c>
      <c r="AU157">
        <f t="shared" si="192"/>
        <v>0.000346563595600013</v>
      </c>
      <c r="AV157">
        <f t="shared" si="193"/>
        <v>1.5707963267949</v>
      </c>
      <c r="AW157" t="str">
        <f t="shared" si="169"/>
        <v>1+0,0177434204341096i</v>
      </c>
      <c r="AX157">
        <f t="shared" si="194"/>
        <v>1.00015740209664</v>
      </c>
      <c r="AY157">
        <f t="shared" si="195"/>
        <v>0.0177415587381809</v>
      </c>
      <c r="AZ157" t="str">
        <f t="shared" si="170"/>
        <v>1+0,848286504583919i</v>
      </c>
      <c r="BA157">
        <f t="shared" si="196"/>
        <v>1.31133138216822</v>
      </c>
      <c r="BB157">
        <f t="shared" si="197"/>
        <v>0.703498450348004</v>
      </c>
      <c r="BC157" s="30" t="str">
        <f t="shared" si="198"/>
        <v>-0,120910090815797+0,147770744089699i</v>
      </c>
      <c r="BD157" s="32">
        <f t="shared" si="199"/>
        <v>-14.3823762147777</v>
      </c>
      <c r="BE157" s="31">
        <f t="shared" si="200"/>
        <v>129.290975661253</v>
      </c>
      <c r="BF157" s="30" t="str">
        <f t="shared" si="201"/>
        <v>2,32740848677462+2,33837403819729i</v>
      </c>
      <c r="BG157" s="68">
        <f t="shared" si="202"/>
        <v>10.3682138752839</v>
      </c>
      <c r="BH157" s="31">
        <f t="shared" si="203"/>
        <v>45.1346566532907</v>
      </c>
      <c r="BI157" s="30" t="str">
        <f t="shared" si="156"/>
        <v>12,3852243352609+13,6883906761898i</v>
      </c>
      <c r="BJ157" s="68">
        <f t="shared" si="204"/>
        <v>25.3245602847955</v>
      </c>
      <c r="BK157" s="31">
        <f t="shared" si="157"/>
        <v>47.8612776482738</v>
      </c>
      <c r="BL157" s="32">
        <f t="shared" si="205"/>
        <v>10.3682138752839</v>
      </c>
      <c r="BM157" s="31">
        <f t="shared" si="206"/>
        <v>45.1346566532907</v>
      </c>
      <c r="BO157">
        <f t="shared" si="207"/>
        <v>0</v>
      </c>
      <c r="BP157">
        <f t="shared" si="208"/>
        <v>0</v>
      </c>
    </row>
    <row r="158" spans="14:68">
      <c r="N158" s="7">
        <v>40</v>
      </c>
      <c r="O158" s="18">
        <f t="shared" si="158"/>
        <v>251.188643150958</v>
      </c>
      <c r="P158" s="86" t="str">
        <f t="shared" si="159"/>
        <v>163,636363636364</v>
      </c>
      <c r="Q158" s="4" t="str">
        <f t="shared" si="160"/>
        <v>1+9,64176309280178i</v>
      </c>
      <c r="R158" s="4">
        <f t="shared" si="171"/>
        <v>9.69348211623226</v>
      </c>
      <c r="S158" s="4">
        <f t="shared" si="172"/>
        <v>1.46745035954034</v>
      </c>
      <c r="T158" s="4" t="str">
        <f t="shared" si="161"/>
        <v>1+0,0247471919381912i</v>
      </c>
      <c r="U158" s="4">
        <f t="shared" si="173"/>
        <v>1.00030616488594</v>
      </c>
      <c r="V158" s="4">
        <f t="shared" si="174"/>
        <v>0.0247421418730217</v>
      </c>
      <c r="W158" t="str">
        <f t="shared" si="162"/>
        <v>1-0,0236739718796472i</v>
      </c>
      <c r="X158" s="4">
        <f t="shared" si="175"/>
        <v>1.00028018921928</v>
      </c>
      <c r="Y158" s="4">
        <f t="shared" si="176"/>
        <v>-0.0236695506189927</v>
      </c>
      <c r="Z158" t="str">
        <f t="shared" si="163"/>
        <v>0,99999948493278+0,00490389417506978i</v>
      </c>
      <c r="AA158" s="4">
        <f t="shared" si="177"/>
        <v>1.00001150895572</v>
      </c>
      <c r="AB158" s="4">
        <f t="shared" si="178"/>
        <v>0.00490385739150587</v>
      </c>
      <c r="AC158" s="67" t="str">
        <f t="shared" si="179"/>
        <v>1,6781076286721-16,807209563971i</v>
      </c>
      <c r="AD158" s="68">
        <f t="shared" si="180"/>
        <v>24.5529924251326</v>
      </c>
      <c r="AE158" s="31">
        <f t="shared" si="181"/>
        <v>-84.2982276264854</v>
      </c>
      <c r="AF158" s="32" t="str">
        <f t="shared" si="182"/>
        <v>748,315388573934</v>
      </c>
      <c r="AG158" s="32" t="str">
        <f t="shared" si="164"/>
        <v>1+7,8562514089496i</v>
      </c>
      <c r="AH158" s="32">
        <f t="shared" si="183"/>
        <v>7.9196392721274</v>
      </c>
      <c r="AI158" s="32">
        <f t="shared" si="184"/>
        <v>1.44418998811645</v>
      </c>
      <c r="AJ158" s="32" t="str">
        <f t="shared" si="165"/>
        <v>1+0,0247471919381912i</v>
      </c>
      <c r="AK158" s="32">
        <f t="shared" si="185"/>
        <v>1.00030616488594</v>
      </c>
      <c r="AL158" s="32">
        <f t="shared" si="186"/>
        <v>0.0247421418730217</v>
      </c>
      <c r="AM158" s="32" t="str">
        <f t="shared" si="166"/>
        <v>1-0,00421809008370288i</v>
      </c>
      <c r="AN158" s="32">
        <f t="shared" si="187"/>
        <v>1.00000889610241</v>
      </c>
      <c r="AO158" s="32">
        <f t="shared" si="188"/>
        <v>-0.00421806506748443</v>
      </c>
      <c r="AP158" s="30" t="str">
        <f t="shared" si="189"/>
        <v>13,8564036312709-93,4971477198314i</v>
      </c>
      <c r="AQ158" s="32">
        <f t="shared" si="190"/>
        <v>39.5103216917067</v>
      </c>
      <c r="AR158" s="31">
        <f t="shared" si="191"/>
        <v>-81.5700481547612</v>
      </c>
      <c r="AS158" t="str">
        <f t="shared" si="167"/>
        <v>-0,0000504684572142411</v>
      </c>
      <c r="AT158" t="str">
        <f t="shared" si="168"/>
        <v>0,000354636098757114i</v>
      </c>
      <c r="AU158">
        <f t="shared" si="192"/>
        <v>0.000354636098757114</v>
      </c>
      <c r="AV158">
        <f t="shared" si="193"/>
        <v>1.5707963267949</v>
      </c>
      <c r="AW158" t="str">
        <f t="shared" si="169"/>
        <v>1+0,0181567177893155i</v>
      </c>
      <c r="AX158">
        <f t="shared" si="194"/>
        <v>1.00016481961769</v>
      </c>
      <c r="AY158">
        <f t="shared" si="195"/>
        <v>0.0181547229639416</v>
      </c>
      <c r="AZ158" t="str">
        <f t="shared" si="170"/>
        <v>1+0,868045635587063i</v>
      </c>
      <c r="BA158">
        <f t="shared" si="196"/>
        <v>1.32419908830272</v>
      </c>
      <c r="BB158">
        <f t="shared" si="197"/>
        <v>0.71487764362323</v>
      </c>
      <c r="BC158" s="30" t="str">
        <f t="shared" si="198"/>
        <v>-0,12090829741175+0,144505844874449i</v>
      </c>
      <c r="BD158" s="32">
        <f t="shared" si="199"/>
        <v>-14.4976240347198</v>
      </c>
      <c r="BE158" s="31">
        <f t="shared" si="200"/>
        <v>129.919282843805</v>
      </c>
      <c r="BF158" s="30" t="str">
        <f t="shared" si="201"/>
        <v>2,22584288176714+2,27462745329373i</v>
      </c>
      <c r="BG158" s="68">
        <f t="shared" si="202"/>
        <v>10.0553683904128</v>
      </c>
      <c r="BH158" s="31">
        <f t="shared" si="203"/>
        <v>45.6210552173198</v>
      </c>
      <c r="BI158" s="30" t="str">
        <f t="shared" si="156"/>
        <v>11,8355301532984+13,3069122573179i</v>
      </c>
      <c r="BJ158" s="68">
        <f t="shared" si="204"/>
        <v>25.012697656987</v>
      </c>
      <c r="BK158" s="31">
        <f t="shared" si="157"/>
        <v>48.3492346890442</v>
      </c>
      <c r="BL158" s="32">
        <f t="shared" si="205"/>
        <v>10.0553683904128</v>
      </c>
      <c r="BM158" s="31">
        <f t="shared" si="206"/>
        <v>45.6210552173198</v>
      </c>
      <c r="BO158">
        <f t="shared" si="207"/>
        <v>0</v>
      </c>
      <c r="BP158">
        <f t="shared" si="208"/>
        <v>0</v>
      </c>
    </row>
    <row r="159" spans="14:68">
      <c r="N159" s="7">
        <v>41</v>
      </c>
      <c r="O159" s="18">
        <f t="shared" si="158"/>
        <v>257.039578276887</v>
      </c>
      <c r="P159" s="86" t="str">
        <f t="shared" si="159"/>
        <v>163,636363636364</v>
      </c>
      <c r="Q159" s="4" t="str">
        <f t="shared" si="160"/>
        <v>1+9,86634860609525i</v>
      </c>
      <c r="R159" s="4">
        <f t="shared" si="171"/>
        <v>9.91689643068827</v>
      </c>
      <c r="S159" s="4">
        <f t="shared" si="172"/>
        <v>1.46978664842686</v>
      </c>
      <c r="T159" s="4" t="str">
        <f t="shared" si="161"/>
        <v>1+0,0253236280889778i</v>
      </c>
      <c r="U159" s="4">
        <f t="shared" si="173"/>
        <v>1.00032059168028</v>
      </c>
      <c r="V159" s="4">
        <f t="shared" si="174"/>
        <v>0.0253182169403162</v>
      </c>
      <c r="W159" t="str">
        <f t="shared" si="162"/>
        <v>1-0,0242254095238946i</v>
      </c>
      <c r="X159" s="4">
        <f t="shared" si="175"/>
        <v>1.00029339219381</v>
      </c>
      <c r="Y159" s="4">
        <f t="shared" si="176"/>
        <v>-0.0242206721327934</v>
      </c>
      <c r="Z159" t="str">
        <f t="shared" si="163"/>
        <v>0,99999946065841+0,0050181205442353i</v>
      </c>
      <c r="AA159" s="4">
        <f t="shared" si="177"/>
        <v>1.00001205135284</v>
      </c>
      <c r="AB159" s="4">
        <f t="shared" si="178"/>
        <v>0.00501808112996209</v>
      </c>
      <c r="AC159" s="67" t="str">
        <f t="shared" si="179"/>
        <v>1,60049222125161-16,432941079917i</v>
      </c>
      <c r="AD159" s="68">
        <f t="shared" si="180"/>
        <v>24.355308346827</v>
      </c>
      <c r="AE159" s="31">
        <f t="shared" si="181"/>
        <v>-84.4372019242411</v>
      </c>
      <c r="AF159" s="32" t="str">
        <f t="shared" si="182"/>
        <v>748,315388573934</v>
      </c>
      <c r="AG159" s="32" t="str">
        <f t="shared" si="164"/>
        <v>1+8,0392470123739i</v>
      </c>
      <c r="AH159" s="32">
        <f t="shared" si="183"/>
        <v>8.10120315298676</v>
      </c>
      <c r="AI159" s="32">
        <f t="shared" si="184"/>
        <v>1.44704222978943</v>
      </c>
      <c r="AJ159" s="32" t="str">
        <f t="shared" si="165"/>
        <v>1+0,0253236280889778i</v>
      </c>
      <c r="AK159" s="32">
        <f t="shared" si="185"/>
        <v>1.00032059168028</v>
      </c>
      <c r="AL159" s="32">
        <f t="shared" si="186"/>
        <v>0.0253182169403162</v>
      </c>
      <c r="AM159" s="32" t="str">
        <f t="shared" si="166"/>
        <v>1-0,00431634202346209i</v>
      </c>
      <c r="AN159" s="32">
        <f t="shared" si="187"/>
        <v>1.00000931536084</v>
      </c>
      <c r="AO159" s="32">
        <f t="shared" si="188"/>
        <v>-0.00431631521811456</v>
      </c>
      <c r="AP159" s="30" t="str">
        <f t="shared" si="189"/>
        <v>13,3289885282273-91,4349557685174i</v>
      </c>
      <c r="AQ159" s="32">
        <f t="shared" si="190"/>
        <v>39.313568153671</v>
      </c>
      <c r="AR159" s="31">
        <f t="shared" si="191"/>
        <v>-81.7060922137036</v>
      </c>
      <c r="AS159" t="str">
        <f t="shared" si="167"/>
        <v>-0,0000504684572142411</v>
      </c>
      <c r="AT159" t="str">
        <f t="shared" si="168"/>
        <v>0,000362896634667941i</v>
      </c>
      <c r="AU159">
        <f t="shared" si="192"/>
        <v>0.000362896634667941</v>
      </c>
      <c r="AV159">
        <f t="shared" si="193"/>
        <v>1.5707963267949</v>
      </c>
      <c r="AW159" t="str">
        <f t="shared" si="169"/>
        <v>1+0,0185796420766258i</v>
      </c>
      <c r="AX159">
        <f t="shared" si="194"/>
        <v>1.00017258665677</v>
      </c>
      <c r="AY159">
        <f t="shared" si="195"/>
        <v>0.0185775046026472</v>
      </c>
      <c r="AZ159" t="str">
        <f t="shared" si="170"/>
        <v>1+0,888265015876132i</v>
      </c>
      <c r="BA159">
        <f t="shared" si="196"/>
        <v>1.33754055580735</v>
      </c>
      <c r="BB159">
        <f t="shared" si="197"/>
        <v>0.726293724327006</v>
      </c>
      <c r="BC159" s="30" t="str">
        <f t="shared" si="198"/>
        <v>-0,120906419544194+0,141317561501926i</v>
      </c>
      <c r="BD159" s="32">
        <f t="shared" si="199"/>
        <v>-14.6106179934707</v>
      </c>
      <c r="BE159" s="31">
        <f t="shared" si="200"/>
        <v>130.549152483159</v>
      </c>
      <c r="BF159" s="30" t="str">
        <f t="shared" si="201"/>
        <v>2,12875337773883+2,21302572646354i</v>
      </c>
      <c r="BG159" s="68">
        <f t="shared" si="202"/>
        <v>9.74469035335632</v>
      </c>
      <c r="BH159" s="31">
        <f t="shared" si="203"/>
        <v>46.1119505589178</v>
      </c>
      <c r="BI159" s="30" t="str">
        <f t="shared" si="156"/>
        <v>11,3098047061497+12,9386932792494i</v>
      </c>
      <c r="BJ159" s="68">
        <f t="shared" si="204"/>
        <v>24.7029501602003</v>
      </c>
      <c r="BK159" s="31">
        <f t="shared" si="157"/>
        <v>48.8430602694554</v>
      </c>
      <c r="BL159" s="32">
        <f t="shared" si="205"/>
        <v>9.74469035335632</v>
      </c>
      <c r="BM159" s="31">
        <f t="shared" si="206"/>
        <v>46.1119505589178</v>
      </c>
      <c r="BO159">
        <f t="shared" si="207"/>
        <v>0</v>
      </c>
      <c r="BP159">
        <f t="shared" si="208"/>
        <v>0</v>
      </c>
    </row>
    <row r="160" spans="14:68">
      <c r="N160" s="7">
        <v>42</v>
      </c>
      <c r="O160" s="18">
        <f t="shared" si="158"/>
        <v>263.026799189538</v>
      </c>
      <c r="P160" s="86" t="str">
        <f t="shared" si="159"/>
        <v>163,636363636364</v>
      </c>
      <c r="Q160" s="4" t="str">
        <f t="shared" si="160"/>
        <v>1+10,0961653880162i</v>
      </c>
      <c r="R160" s="4">
        <f t="shared" si="171"/>
        <v>10.1455682710322</v>
      </c>
      <c r="S160" s="4">
        <f t="shared" si="172"/>
        <v>1.47207082651677</v>
      </c>
      <c r="T160" s="4" t="str">
        <f t="shared" si="161"/>
        <v>1+0,025913491162575i</v>
      </c>
      <c r="U160" s="4">
        <f t="shared" si="173"/>
        <v>1.00033569816549</v>
      </c>
      <c r="V160" s="4">
        <f t="shared" si="174"/>
        <v>0.0259076931174046</v>
      </c>
      <c r="W160" t="str">
        <f t="shared" si="162"/>
        <v>1-0,0247896918009327i</v>
      </c>
      <c r="X160" s="4">
        <f t="shared" si="175"/>
        <v>1.00030721721858</v>
      </c>
      <c r="Y160" s="4">
        <f t="shared" si="176"/>
        <v>-0.0247846156791084</v>
      </c>
      <c r="Z160" t="str">
        <f t="shared" si="163"/>
        <v>0,999999435240024+0,00513500758733606i</v>
      </c>
      <c r="AA160" s="4">
        <f t="shared" si="177"/>
        <v>1.00001261931202</v>
      </c>
      <c r="AB160" s="4">
        <f t="shared" si="178"/>
        <v>0.00513496535421018</v>
      </c>
      <c r="AC160" s="67" t="str">
        <f t="shared" si="179"/>
        <v>1,52630040491376-16,0666841535342i</v>
      </c>
      <c r="AD160" s="68">
        <f t="shared" si="180"/>
        <v>24.1575426296988</v>
      </c>
      <c r="AE160" s="31">
        <f t="shared" si="181"/>
        <v>-84.5733097492072</v>
      </c>
      <c r="AF160" s="32" t="str">
        <f t="shared" si="182"/>
        <v>748,315388573934</v>
      </c>
      <c r="AG160" s="32" t="str">
        <f t="shared" si="164"/>
        <v>1+8,22650513097619i</v>
      </c>
      <c r="AH160" s="32">
        <f t="shared" si="183"/>
        <v>8.28706140136403</v>
      </c>
      <c r="AI160" s="32">
        <f t="shared" si="184"/>
        <v>1.44983150353556</v>
      </c>
      <c r="AJ160" s="32" t="str">
        <f t="shared" si="165"/>
        <v>1+0,025913491162575i</v>
      </c>
      <c r="AK160" s="32">
        <f t="shared" si="185"/>
        <v>1.00033569816549</v>
      </c>
      <c r="AL160" s="32">
        <f t="shared" si="186"/>
        <v>0.0259076931174046</v>
      </c>
      <c r="AM160" s="32" t="str">
        <f t="shared" si="166"/>
        <v>1-0,00441688254489568i</v>
      </c>
      <c r="AN160" s="32">
        <f t="shared" si="187"/>
        <v>1.00000975437813</v>
      </c>
      <c r="AO160" s="32">
        <f t="shared" si="188"/>
        <v>-0.00441685382246346</v>
      </c>
      <c r="AP160" s="30" t="str">
        <f t="shared" si="189"/>
        <v>12,8246034267969-89,4154228625192i</v>
      </c>
      <c r="AQ160" s="32">
        <f t="shared" si="190"/>
        <v>39.1166824648706</v>
      </c>
      <c r="AR160" s="31">
        <f t="shared" si="191"/>
        <v>-81.8378917679001</v>
      </c>
      <c r="AS160" t="str">
        <f t="shared" si="167"/>
        <v>-0,0000504684572142411</v>
      </c>
      <c r="AT160" t="str">
        <f t="shared" si="168"/>
        <v>0,000371349583177972i</v>
      </c>
      <c r="AU160">
        <f t="shared" si="192"/>
        <v>0.000371349583177972</v>
      </c>
      <c r="AV160">
        <f t="shared" si="193"/>
        <v>1.5707963267949</v>
      </c>
      <c r="AW160" t="str">
        <f t="shared" si="169"/>
        <v>1+0,0190124175360958i</v>
      </c>
      <c r="AX160">
        <f t="shared" si="194"/>
        <v>1.00018071968048</v>
      </c>
      <c r="AY160">
        <f t="shared" si="195"/>
        <v>0.0190101272138135</v>
      </c>
      <c r="AZ160" t="str">
        <f t="shared" si="170"/>
        <v>1+0,908955366034198i</v>
      </c>
      <c r="BA160">
        <f t="shared" si="196"/>
        <v>1.35136962280583</v>
      </c>
      <c r="BB160">
        <f t="shared" si="197"/>
        <v>0.737740843756762</v>
      </c>
      <c r="BC160" s="30" t="str">
        <f t="shared" si="198"/>
        <v>-0,120904453237987+0,138204203282748i</v>
      </c>
      <c r="BD160" s="32">
        <f t="shared" si="199"/>
        <v>-14.7213447623915</v>
      </c>
      <c r="BE160" s="31">
        <f t="shared" si="200"/>
        <v>131.180236664324</v>
      </c>
      <c r="BF160" s="30" t="str">
        <f t="shared" si="201"/>
        <v>2,03594676690173+2,15347479436172i</v>
      </c>
      <c r="BG160" s="68">
        <f t="shared" si="202"/>
        <v>9.43619786730732</v>
      </c>
      <c r="BH160" s="31">
        <f t="shared" si="203"/>
        <v>46.6069269151172</v>
      </c>
      <c r="BI160" s="30" t="str">
        <f t="shared" si="156"/>
        <v>10,8070356125936+12,583136911254i</v>
      </c>
      <c r="BJ160" s="68">
        <f t="shared" si="204"/>
        <v>24.3953377024792</v>
      </c>
      <c r="BK160" s="31">
        <f t="shared" si="157"/>
        <v>49.3423448964244</v>
      </c>
      <c r="BL160" s="32">
        <f t="shared" si="205"/>
        <v>9.43619786730732</v>
      </c>
      <c r="BM160" s="31">
        <f t="shared" si="206"/>
        <v>46.6069269151172</v>
      </c>
      <c r="BO160">
        <f t="shared" si="207"/>
        <v>0</v>
      </c>
      <c r="BP160">
        <f t="shared" si="208"/>
        <v>0</v>
      </c>
    </row>
    <row r="161" spans="14:68">
      <c r="N161" s="7">
        <v>43</v>
      </c>
      <c r="O161" s="18">
        <f t="shared" si="158"/>
        <v>269.153480392692</v>
      </c>
      <c r="P161" s="86" t="str">
        <f t="shared" si="159"/>
        <v>163,636363636364</v>
      </c>
      <c r="Q161" s="4" t="str">
        <f t="shared" si="160"/>
        <v>1+10,3313352904645i</v>
      </c>
      <c r="R161" s="4">
        <f t="shared" si="171"/>
        <v>10.3796189180527</v>
      </c>
      <c r="S161" s="4">
        <f t="shared" si="172"/>
        <v>1.47430400951821</v>
      </c>
      <c r="T161" s="4" t="str">
        <f t="shared" si="161"/>
        <v>1+0,0265170939121923i</v>
      </c>
      <c r="U161" s="4">
        <f t="shared" si="173"/>
        <v>1.0003515163529</v>
      </c>
      <c r="V161" s="4">
        <f t="shared" si="174"/>
        <v>0.0265108813127605</v>
      </c>
      <c r="W161" t="str">
        <f t="shared" si="162"/>
        <v>1-0,0253671179006942i</v>
      </c>
      <c r="X161" s="4">
        <f t="shared" si="175"/>
        <v>1.00032169359191</v>
      </c>
      <c r="Y161" s="4">
        <f t="shared" si="176"/>
        <v>-0.0253616788326306</v>
      </c>
      <c r="Z161" t="str">
        <f t="shared" si="163"/>
        <v>0,999999408623706+0,0052546172794295i</v>
      </c>
      <c r="AA161" s="4">
        <f t="shared" si="177"/>
        <v>1.00001321403795</v>
      </c>
      <c r="AB161" s="4">
        <f t="shared" si="178"/>
        <v>0.00525457202585208</v>
      </c>
      <c r="AC161" s="67" t="str">
        <f t="shared" si="179"/>
        <v>1,45538410868355-15,7082905060342i</v>
      </c>
      <c r="AD161" s="68">
        <f t="shared" si="180"/>
        <v>23.9596998869369</v>
      </c>
      <c r="AE161" s="31">
        <f t="shared" si="181"/>
        <v>-84.7066178129203</v>
      </c>
      <c r="AF161" s="32" t="str">
        <f t="shared" si="182"/>
        <v>748,315388573934</v>
      </c>
      <c r="AG161" s="32" t="str">
        <f t="shared" si="164"/>
        <v>1+8,41812505148962i</v>
      </c>
      <c r="AH161" s="32">
        <f t="shared" si="183"/>
        <v>8.47731262739066</v>
      </c>
      <c r="AI161" s="32">
        <f t="shared" si="184"/>
        <v>1.45255911456625</v>
      </c>
      <c r="AJ161" s="32" t="str">
        <f t="shared" si="165"/>
        <v>1+0,0265170939121923i</v>
      </c>
      <c r="AK161" s="32">
        <f t="shared" si="185"/>
        <v>1.0003515163529</v>
      </c>
      <c r="AL161" s="32">
        <f t="shared" si="186"/>
        <v>0.0265108813127605</v>
      </c>
      <c r="AM161" s="32" t="str">
        <f t="shared" si="166"/>
        <v>1-0,00451976495591894i</v>
      </c>
      <c r="AN161" s="32">
        <f t="shared" si="187"/>
        <v>1.00001021408546</v>
      </c>
      <c r="AO161" s="32">
        <f t="shared" si="188"/>
        <v>-0.0045197341792953</v>
      </c>
      <c r="AP161" s="30" t="str">
        <f t="shared" si="189"/>
        <v>12,3422727358785-87,4378555447138i</v>
      </c>
      <c r="AQ161" s="32">
        <f t="shared" si="190"/>
        <v>38.9196709507784</v>
      </c>
      <c r="AR161" s="31">
        <f t="shared" si="191"/>
        <v>-81.9655068405071</v>
      </c>
      <c r="AS161" t="str">
        <f t="shared" si="167"/>
        <v>-0,0000504684572142411</v>
      </c>
      <c r="AT161" t="str">
        <f t="shared" si="168"/>
        <v>0,000379999426152399i</v>
      </c>
      <c r="AU161">
        <f t="shared" si="192"/>
        <v>0.000379999426152399</v>
      </c>
      <c r="AV161">
        <f t="shared" si="193"/>
        <v>1.5707963267949</v>
      </c>
      <c r="AW161" t="str">
        <f t="shared" si="169"/>
        <v>1+0,0194552736310026i</v>
      </c>
      <c r="AX161">
        <f t="shared" si="194"/>
        <v>1.00018923593091</v>
      </c>
      <c r="AY161">
        <f t="shared" si="195"/>
        <v>0.0194528195315387</v>
      </c>
      <c r="AZ161" t="str">
        <f t="shared" si="170"/>
        <v>1+0,930127656358785i</v>
      </c>
      <c r="BA161">
        <f t="shared" si="196"/>
        <v>1.36570035407606</v>
      </c>
      <c r="BB161">
        <f t="shared" si="197"/>
        <v>0.749213072368599</v>
      </c>
      <c r="BC161" s="30" t="str">
        <f t="shared" si="198"/>
        <v>-0,12090239433117+0,135164119238168i</v>
      </c>
      <c r="BD161" s="32">
        <f t="shared" si="199"/>
        <v>-14.8297933252396</v>
      </c>
      <c r="BE161" s="31">
        <f t="shared" si="200"/>
        <v>131.812182543964</v>
      </c>
      <c r="BF161" s="30" t="str">
        <f t="shared" si="201"/>
        <v>1,94723782757401+2,09588564423256i</v>
      </c>
      <c r="BG161" s="68">
        <f t="shared" si="202"/>
        <v>9.12990656169729</v>
      </c>
      <c r="BH161" s="31">
        <f t="shared" si="203"/>
        <v>47.1055647310434</v>
      </c>
      <c r="BI161" s="30" t="str">
        <f t="shared" si="156"/>
        <v>10,3262504075194+12,2396785142811i</v>
      </c>
      <c r="BJ161" s="68">
        <f t="shared" si="204"/>
        <v>24.0898776255388</v>
      </c>
      <c r="BK161" s="31">
        <f t="shared" si="157"/>
        <v>49.8466757034563</v>
      </c>
      <c r="BL161" s="32">
        <f t="shared" si="205"/>
        <v>9.12990656169729</v>
      </c>
      <c r="BM161" s="31">
        <f t="shared" si="206"/>
        <v>47.1055647310434</v>
      </c>
      <c r="BO161">
        <f t="shared" si="207"/>
        <v>0</v>
      </c>
      <c r="BP161">
        <f t="shared" si="208"/>
        <v>0</v>
      </c>
    </row>
    <row r="162" spans="14:68">
      <c r="N162" s="7">
        <v>44</v>
      </c>
      <c r="O162" s="18">
        <f t="shared" si="158"/>
        <v>275.422870333817</v>
      </c>
      <c r="P162" s="86" t="str">
        <f t="shared" si="159"/>
        <v>163,636363636364</v>
      </c>
      <c r="Q162" s="4" t="str">
        <f t="shared" si="160"/>
        <v>1+10,5719830036352i</v>
      </c>
      <c r="R162" s="4">
        <f t="shared" si="171"/>
        <v>10.6191725020903</v>
      </c>
      <c r="S162" s="4">
        <f t="shared" si="172"/>
        <v>1.47648729234844</v>
      </c>
      <c r="T162" s="4" t="str">
        <f t="shared" si="161"/>
        <v>1+0,0271347563759971i</v>
      </c>
      <c r="U162" s="4">
        <f t="shared" si="173"/>
        <v>1.00036807976044</v>
      </c>
      <c r="V162" s="4">
        <f t="shared" si="174"/>
        <v>0.0271280995880512</v>
      </c>
      <c r="W162" t="str">
        <f t="shared" si="162"/>
        <v>1-0,0259579939821401i</v>
      </c>
      <c r="X162" s="4">
        <f t="shared" si="175"/>
        <v>1.00033685199116</v>
      </c>
      <c r="Y162" s="4">
        <f t="shared" si="176"/>
        <v>-0.0259521660216966</v>
      </c>
      <c r="Z162" t="str">
        <f t="shared" si="163"/>
        <v>0,999999380753+0,00537701303915758i</v>
      </c>
      <c r="AA162" s="4">
        <f t="shared" si="177"/>
        <v>1.00001383679208</v>
      </c>
      <c r="AB162" s="4">
        <f t="shared" si="178"/>
        <v>0.00537696454911196</v>
      </c>
      <c r="AC162" s="67" t="str">
        <f t="shared" si="179"/>
        <v>1,38760140633358-15,3576130596247i</v>
      </c>
      <c r="AD162" s="68">
        <f t="shared" si="180"/>
        <v>23.7617845791161</v>
      </c>
      <c r="AE162" s="31">
        <f t="shared" si="181"/>
        <v>-84.83719170118</v>
      </c>
      <c r="AF162" s="32" t="str">
        <f t="shared" si="182"/>
        <v>748,315388573934</v>
      </c>
      <c r="AG162" s="32" t="str">
        <f t="shared" si="164"/>
        <v>1+8,61420837333241i</v>
      </c>
      <c r="AH162" s="32">
        <f t="shared" si="183"/>
        <v>8.67205776613545</v>
      </c>
      <c r="AI162" s="32">
        <f t="shared" si="184"/>
        <v>1.45522634666535</v>
      </c>
      <c r="AJ162" s="32" t="str">
        <f t="shared" si="165"/>
        <v>1+0,0271347563759971i</v>
      </c>
      <c r="AK162" s="32">
        <f t="shared" si="185"/>
        <v>1.00036807976044</v>
      </c>
      <c r="AL162" s="32">
        <f t="shared" si="186"/>
        <v>0.0271280995880512</v>
      </c>
      <c r="AM162" s="32" t="str">
        <f t="shared" si="166"/>
        <v>1-0,00462504380614799i</v>
      </c>
      <c r="AN162" s="32">
        <f t="shared" si="187"/>
        <v>1.00001069545791</v>
      </c>
      <c r="AO162" s="32">
        <f t="shared" si="188"/>
        <v>-0.00462501082842065</v>
      </c>
      <c r="AP162" s="30" t="str">
        <f t="shared" si="189"/>
        <v>11,8810595806004-85,5015586148752i</v>
      </c>
      <c r="AQ162" s="32">
        <f t="shared" si="190"/>
        <v>38.7225396940891</v>
      </c>
      <c r="AR162" s="31">
        <f t="shared" si="191"/>
        <v>-82.088995888231</v>
      </c>
      <c r="AS162" t="str">
        <f t="shared" si="167"/>
        <v>-0,0000504684572142411</v>
      </c>
      <c r="AT162" t="str">
        <f t="shared" si="168"/>
        <v>0,000388850749852457i</v>
      </c>
      <c r="AU162">
        <f t="shared" si="192"/>
        <v>0.000388850749852457</v>
      </c>
      <c r="AV162">
        <f t="shared" si="193"/>
        <v>1.5707963267949</v>
      </c>
      <c r="AW162" t="str">
        <f t="shared" si="169"/>
        <v>1+0,0199084451695096i</v>
      </c>
      <c r="AX162">
        <f t="shared" si="194"/>
        <v>1.00019815346214</v>
      </c>
      <c r="AY162">
        <f t="shared" si="195"/>
        <v>0.0199058155826929</v>
      </c>
      <c r="AZ162" t="str">
        <f t="shared" si="170"/>
        <v>1+0,951793112678467i</v>
      </c>
      <c r="BA162">
        <f t="shared" si="196"/>
        <v>1.38054703988751</v>
      </c>
      <c r="BB162">
        <f t="shared" si="197"/>
        <v>0.76070441483434</v>
      </c>
      <c r="BC162" s="30" t="str">
        <f t="shared" si="198"/>
        <v>-0,120900238466221+0,132195697223595i</v>
      </c>
      <c r="BD162" s="32">
        <f t="shared" si="199"/>
        <v>-14.9359550249773</v>
      </c>
      <c r="BE162" s="31">
        <f t="shared" si="200"/>
        <v>132.444633206323</v>
      </c>
      <c r="BF162" s="30" t="str">
        <f t="shared" si="201"/>
        <v>1,86244902518548+2,04017401655928i</v>
      </c>
      <c r="BG162" s="68">
        <f t="shared" si="202"/>
        <v>8.8258295541388</v>
      </c>
      <c r="BH162" s="31">
        <f t="shared" si="203"/>
        <v>47.6074415051426</v>
      </c>
      <c r="BI162" s="30" t="str">
        <f t="shared" si="156"/>
        <v>9,86651521827153+11,9077837807845i</v>
      </c>
      <c r="BJ162" s="68">
        <f t="shared" si="204"/>
        <v>23.7865846691118</v>
      </c>
      <c r="BK162" s="31">
        <f t="shared" si="157"/>
        <v>50.3556373180916</v>
      </c>
      <c r="BL162" s="32">
        <f t="shared" si="205"/>
        <v>8.8258295541388</v>
      </c>
      <c r="BM162" s="31">
        <f t="shared" si="206"/>
        <v>47.6074415051426</v>
      </c>
      <c r="BO162">
        <f t="shared" si="207"/>
        <v>0</v>
      </c>
      <c r="BP162">
        <f t="shared" si="208"/>
        <v>0</v>
      </c>
    </row>
    <row r="163" spans="14:68">
      <c r="N163" s="7">
        <v>45</v>
      </c>
      <c r="O163" s="18">
        <f t="shared" si="158"/>
        <v>281.838293126446</v>
      </c>
      <c r="P163" s="86" t="str">
        <f t="shared" si="159"/>
        <v>163,636363636364</v>
      </c>
      <c r="Q163" s="4" t="str">
        <f t="shared" si="160"/>
        <v>1+10,8182361221312i</v>
      </c>
      <c r="R163" s="4">
        <f t="shared" si="171"/>
        <v>10.8643560690077</v>
      </c>
      <c r="S163" s="4">
        <f t="shared" si="172"/>
        <v>1.47862174931022</v>
      </c>
      <c r="T163" s="4" t="str">
        <f t="shared" si="161"/>
        <v>1+0,0277668060468033i</v>
      </c>
      <c r="U163" s="4">
        <f t="shared" si="173"/>
        <v>1.00038542348339</v>
      </c>
      <c r="V163" s="4">
        <f t="shared" si="174"/>
        <v>0.0277596733184228</v>
      </c>
      <c r="W163" t="str">
        <f t="shared" si="162"/>
        <v>1-0,0265626333355899i</v>
      </c>
      <c r="X163" s="4">
        <f t="shared" si="175"/>
        <v>1.00035272453756</v>
      </c>
      <c r="Y163" s="4">
        <f t="shared" si="176"/>
        <v>-0.0265563886823809</v>
      </c>
      <c r="Z163" t="str">
        <f t="shared" si="163"/>
        <v>0,999999351568788+0,0055022597623722i</v>
      </c>
      <c r="AA163" s="4">
        <f t="shared" si="177"/>
        <v>1.00001448889528</v>
      </c>
      <c r="AB163" s="4">
        <f t="shared" si="178"/>
        <v>0.00550220780439285</v>
      </c>
      <c r="AC163" s="67" t="str">
        <f t="shared" si="179"/>
        <v>1,32281628406678-15,014506047363i</v>
      </c>
      <c r="AD163" s="68">
        <f t="shared" si="180"/>
        <v>23.5638010227098</v>
      </c>
      <c r="AE163" s="31">
        <f t="shared" si="181"/>
        <v>-84.9650958857237</v>
      </c>
      <c r="AF163" s="32" t="str">
        <f t="shared" si="182"/>
        <v>748,315388573934</v>
      </c>
      <c r="AG163" s="32" t="str">
        <f t="shared" si="164"/>
        <v>1+8,81485906247725i</v>
      </c>
      <c r="AH163" s="32">
        <f t="shared" si="183"/>
        <v>8.87140013139624</v>
      </c>
      <c r="AI163" s="32">
        <f t="shared" si="184"/>
        <v>1.45783446215259</v>
      </c>
      <c r="AJ163" s="32" t="str">
        <f t="shared" si="165"/>
        <v>1+0,0277668060468033i</v>
      </c>
      <c r="AK163" s="32">
        <f t="shared" si="185"/>
        <v>1.00038542348339</v>
      </c>
      <c r="AL163" s="32">
        <f t="shared" si="186"/>
        <v>0.0277596733184228</v>
      </c>
      <c r="AM163" s="32" t="str">
        <f t="shared" si="166"/>
        <v>1-0,00473277491582275i</v>
      </c>
      <c r="AN163" s="32">
        <f t="shared" si="187"/>
        <v>1.00001119951649</v>
      </c>
      <c r="AO163" s="32">
        <f t="shared" si="188"/>
        <v>-0.00473273957957264</v>
      </c>
      <c r="AP163" s="30" t="str">
        <f t="shared" si="189"/>
        <v>11,4400644954623-83,6058362369464i</v>
      </c>
      <c r="AQ163" s="32">
        <f t="shared" si="190"/>
        <v>38.5252945455478</v>
      </c>
      <c r="AR163" s="31">
        <f t="shared" si="191"/>
        <v>-82.2084157917044</v>
      </c>
      <c r="AS163" t="str">
        <f t="shared" si="167"/>
        <v>-0,0000504684572142411</v>
      </c>
      <c r="AT163" t="str">
        <f t="shared" si="168"/>
        <v>0,000397908247367136i</v>
      </c>
      <c r="AU163">
        <f t="shared" si="192"/>
        <v>0.000397908247367136</v>
      </c>
      <c r="AV163">
        <f t="shared" si="193"/>
        <v>1.5707963267949</v>
      </c>
      <c r="AW163" t="str">
        <f t="shared" si="169"/>
        <v>1+0,0203721724291648i</v>
      </c>
      <c r="AX163">
        <f t="shared" si="194"/>
        <v>1.00020749117845</v>
      </c>
      <c r="AY163">
        <f t="shared" si="195"/>
        <v>0.0203693548076941</v>
      </c>
      <c r="AZ163" t="str">
        <f t="shared" si="170"/>
        <v>1+0,973963222304962i</v>
      </c>
      <c r="BA163">
        <f t="shared" si="196"/>
        <v>1.39592419507746</v>
      </c>
      <c r="BB163">
        <f t="shared" si="197"/>
        <v>0.772208825516555</v>
      </c>
      <c r="BC163" s="30" t="str">
        <f t="shared" si="198"/>
        <v>-0,120897981080891+0,129297363072606i</v>
      </c>
      <c r="BD163" s="32">
        <f t="shared" si="199"/>
        <v>-15.039823601044</v>
      </c>
      <c r="BE163" s="31">
        <f t="shared" si="200"/>
        <v>133.077228542968</v>
      </c>
      <c r="BF163" s="30" t="str">
        <f t="shared" si="201"/>
        <v>1,78141022167713+1,98626012541235i</v>
      </c>
      <c r="BG163" s="68">
        <f t="shared" si="202"/>
        <v>8.52397742166574</v>
      </c>
      <c r="BH163" s="31">
        <f t="shared" si="203"/>
        <v>48.1121326572438</v>
      </c>
      <c r="BI163" s="30" t="str">
        <f t="shared" si="156"/>
        <v>9,42693346198072+11,5869469802702i</v>
      </c>
      <c r="BJ163" s="68">
        <f t="shared" si="204"/>
        <v>23.4854709445038</v>
      </c>
      <c r="BK163" s="31">
        <f t="shared" si="157"/>
        <v>50.868812751263</v>
      </c>
      <c r="BL163" s="32">
        <f t="shared" si="205"/>
        <v>8.52397742166574</v>
      </c>
      <c r="BM163" s="31">
        <f t="shared" si="206"/>
        <v>48.1121326572438</v>
      </c>
      <c r="BO163">
        <f t="shared" si="207"/>
        <v>0</v>
      </c>
      <c r="BP163">
        <f t="shared" si="208"/>
        <v>0</v>
      </c>
    </row>
    <row r="164" spans="14:68">
      <c r="N164" s="7">
        <v>46</v>
      </c>
      <c r="O164" s="18">
        <f t="shared" si="158"/>
        <v>288.403150312661</v>
      </c>
      <c r="P164" s="86" t="str">
        <f t="shared" si="159"/>
        <v>163,636363636364</v>
      </c>
      <c r="Q164" s="4" t="str">
        <f t="shared" si="160"/>
        <v>1+11,0702252126154i</v>
      </c>
      <c r="R164" s="4">
        <f t="shared" si="171"/>
        <v>11.115299647694</v>
      </c>
      <c r="S164" s="4">
        <f t="shared" si="172"/>
        <v>1.48070843428285</v>
      </c>
      <c r="T164" s="4" t="str">
        <f t="shared" si="161"/>
        <v>1+0,0284135780457127i</v>
      </c>
      <c r="U164" s="4">
        <f t="shared" si="173"/>
        <v>1.00040358426855</v>
      </c>
      <c r="V164" s="4">
        <f t="shared" si="174"/>
        <v>0.0284059353560694</v>
      </c>
      <c r="W164" t="str">
        <f t="shared" si="162"/>
        <v>1-0,0271813565488323i</v>
      </c>
      <c r="X164" s="4">
        <f t="shared" si="175"/>
        <v>1.0003693448641</v>
      </c>
      <c r="Y164" s="4">
        <f t="shared" si="176"/>
        <v>-0.0271746654157846</v>
      </c>
      <c r="Z164" t="str">
        <f t="shared" si="163"/>
        <v>0,999999321009166+0,00563042385654384i</v>
      </c>
      <c r="AA164" s="4">
        <f t="shared" si="177"/>
        <v>1.00001517173071</v>
      </c>
      <c r="AB164" s="4">
        <f t="shared" si="178"/>
        <v>0.0056303681826115</v>
      </c>
      <c r="AC164" s="67" t="str">
        <f t="shared" si="179"/>
        <v>1,26089841493799-14,6788251122572i</v>
      </c>
      <c r="AD164" s="68">
        <f t="shared" si="180"/>
        <v>23.3657533983783</v>
      </c>
      <c r="AE164" s="31">
        <f t="shared" si="181"/>
        <v>-85.0903937367805</v>
      </c>
      <c r="AF164" s="32" t="str">
        <f t="shared" si="182"/>
        <v>748,315388573934</v>
      </c>
      <c r="AG164" s="32" t="str">
        <f t="shared" si="164"/>
        <v>1+9,02018350657547i</v>
      </c>
      <c r="AH164" s="32">
        <f t="shared" si="183"/>
        <v>9.07544547073565</v>
      </c>
      <c r="AI164" s="32">
        <f t="shared" si="184"/>
        <v>1.46038470187986</v>
      </c>
      <c r="AJ164" s="32" t="str">
        <f t="shared" si="165"/>
        <v>1+0,0284135780457127i</v>
      </c>
      <c r="AK164" s="32">
        <f t="shared" si="185"/>
        <v>1.00040358426855</v>
      </c>
      <c r="AL164" s="32">
        <f t="shared" si="186"/>
        <v>0.0284059353560694</v>
      </c>
      <c r="AM164" s="32" t="str">
        <f t="shared" si="166"/>
        <v>1-0,00484301540540356i</v>
      </c>
      <c r="AN164" s="32">
        <f t="shared" si="187"/>
        <v>1.00001172733034</v>
      </c>
      <c r="AO164" s="32">
        <f t="shared" si="188"/>
        <v>-0.00484297754195337</v>
      </c>
      <c r="AP164" s="30" t="str">
        <f t="shared" si="189"/>
        <v>11,0184241406169-81,7499929605567i</v>
      </c>
      <c r="AQ164" s="32">
        <f t="shared" si="190"/>
        <v>38.3279411344611</v>
      </c>
      <c r="AR164" s="31">
        <f t="shared" si="191"/>
        <v>-82.3238218475932</v>
      </c>
      <c r="AS164" t="str">
        <f t="shared" si="167"/>
        <v>-0,0000504684572142411</v>
      </c>
      <c r="AT164" t="str">
        <f t="shared" si="168"/>
        <v>0,000407176721101507i</v>
      </c>
      <c r="AU164">
        <f t="shared" si="192"/>
        <v>0.000407176721101507</v>
      </c>
      <c r="AV164">
        <f t="shared" si="193"/>
        <v>1.5707963267949</v>
      </c>
      <c r="AW164" t="str">
        <f t="shared" si="169"/>
        <v>1+0,0208467012842995i</v>
      </c>
      <c r="AX164">
        <f t="shared" si="194"/>
        <v>1.00021726887434</v>
      </c>
      <c r="AY164">
        <f t="shared" si="195"/>
        <v>0.0208436821839178</v>
      </c>
      <c r="AZ164" t="str">
        <f t="shared" si="170"/>
        <v>1+0,99664974012385i</v>
      </c>
      <c r="BA164">
        <f t="shared" si="196"/>
        <v>1.41184655840815</v>
      </c>
      <c r="BB164">
        <f t="shared" si="197"/>
        <v>0.783720224265397</v>
      </c>
      <c r="BC164" s="30" t="str">
        <f t="shared" si="198"/>
        <v>-0,120895617398616+0,126467579761024i</v>
      </c>
      <c r="BD164" s="32">
        <f t="shared" si="199"/>
        <v>-15.1413952167656</v>
      </c>
      <c r="BE164" s="31">
        <f t="shared" si="200"/>
        <v>133.709606150803</v>
      </c>
      <c r="BF164" s="30" t="str">
        <f t="shared" si="201"/>
        <v>1,70395839333164+1,93406839549436i</v>
      </c>
      <c r="BG164" s="68">
        <f t="shared" si="202"/>
        <v>8.22435818161273</v>
      </c>
      <c r="BH164" s="31">
        <f t="shared" si="203"/>
        <v>48.6192124140228</v>
      </c>
      <c r="BI164" s="30" t="str">
        <f t="shared" si="156"/>
        <v>9,00664456596266+11,2766893051433i</v>
      </c>
      <c r="BJ164" s="68">
        <f t="shared" si="204"/>
        <v>23.1865459176955</v>
      </c>
      <c r="BK164" s="31">
        <f t="shared" si="157"/>
        <v>51.3857843032102</v>
      </c>
      <c r="BL164" s="32">
        <f t="shared" si="205"/>
        <v>8.22435818161273</v>
      </c>
      <c r="BM164" s="31">
        <f t="shared" si="206"/>
        <v>48.6192124140228</v>
      </c>
      <c r="BO164">
        <f t="shared" si="207"/>
        <v>0</v>
      </c>
      <c r="BP164">
        <f t="shared" si="208"/>
        <v>0</v>
      </c>
    </row>
    <row r="165" spans="14:68">
      <c r="N165" s="7">
        <v>47</v>
      </c>
      <c r="O165" s="18">
        <f t="shared" si="158"/>
        <v>295.120922666639</v>
      </c>
      <c r="P165" s="86" t="str">
        <f t="shared" si="159"/>
        <v>163,636363636364</v>
      </c>
      <c r="Q165" s="4" t="str">
        <f t="shared" si="160"/>
        <v>1+11,328083883039i</v>
      </c>
      <c r="R165" s="4">
        <f t="shared" si="171"/>
        <v>11.3721363191429</v>
      </c>
      <c r="S165" s="4">
        <f t="shared" si="172"/>
        <v>1.48274838092652</v>
      </c>
      <c r="T165" s="4" t="str">
        <f t="shared" si="161"/>
        <v>1+0,0290754152998001i</v>
      </c>
      <c r="U165" s="4">
        <f t="shared" si="173"/>
        <v>1.0004226005918</v>
      </c>
      <c r="V165" s="4">
        <f t="shared" si="174"/>
        <v>0.0290672261971267</v>
      </c>
      <c r="W165" t="str">
        <f t="shared" si="162"/>
        <v>1-0,0278144916771047i</v>
      </c>
      <c r="X165" s="4">
        <f t="shared" si="175"/>
        <v>1.00038674818655</v>
      </c>
      <c r="Y165" s="4">
        <f t="shared" si="176"/>
        <v>-0.0278073221485629</v>
      </c>
      <c r="Z165" t="str">
        <f t="shared" si="163"/>
        <v>0,999999289009314+0,00576157327597168i</v>
      </c>
      <c r="AA165" s="4">
        <f t="shared" si="177"/>
        <v>1.00001588674668</v>
      </c>
      <c r="AB165" s="4">
        <f t="shared" si="178"/>
        <v>0.00576151362032954</v>
      </c>
      <c r="AC165" s="67" t="str">
        <f t="shared" si="179"/>
        <v>1,20172294001518-14,3504273963112i</v>
      </c>
      <c r="AD165" s="68">
        <f t="shared" si="180"/>
        <v>23.16764575904</v>
      </c>
      <c r="AE165" s="31">
        <f t="shared" si="181"/>
        <v>-85.2131475364238</v>
      </c>
      <c r="AF165" s="32" t="str">
        <f t="shared" si="182"/>
        <v>748,315388573934</v>
      </c>
      <c r="AG165" s="32" t="str">
        <f t="shared" si="164"/>
        <v>1+9,23029057136511i</v>
      </c>
      <c r="AH165" s="32">
        <f t="shared" si="183"/>
        <v>9.28430202179096</v>
      </c>
      <c r="AI165" s="32">
        <f t="shared" si="184"/>
        <v>1.46287828525768</v>
      </c>
      <c r="AJ165" s="32" t="str">
        <f t="shared" si="165"/>
        <v>1+0,0290754152998001i</v>
      </c>
      <c r="AK165" s="32">
        <f t="shared" si="185"/>
        <v>1.0004226005918</v>
      </c>
      <c r="AL165" s="32">
        <f t="shared" si="186"/>
        <v>0.0290672261971267</v>
      </c>
      <c r="AM165" s="32" t="str">
        <f t="shared" si="166"/>
        <v>1-0,00495582372585719i</v>
      </c>
      <c r="AN165" s="32">
        <f t="shared" si="187"/>
        <v>1.000012280019</v>
      </c>
      <c r="AO165" s="32">
        <f t="shared" si="188"/>
        <v>-0.00495578315446626</v>
      </c>
      <c r="AP165" s="30" t="str">
        <f t="shared" si="189"/>
        <v>10,615310043061-79,933334661684i</v>
      </c>
      <c r="AQ165" s="32">
        <f t="shared" si="190"/>
        <v>38.1304848788975</v>
      </c>
      <c r="AR165" s="31">
        <f t="shared" si="191"/>
        <v>-82.4352677622854</v>
      </c>
      <c r="AS165" t="str">
        <f t="shared" si="167"/>
        <v>-0,0000504684572142411</v>
      </c>
      <c r="AT165" t="str">
        <f t="shared" si="168"/>
        <v>0,000416661085323027i</v>
      </c>
      <c r="AU165">
        <f t="shared" si="192"/>
        <v>0.000416661085323027</v>
      </c>
      <c r="AV165">
        <f t="shared" si="193"/>
        <v>1.5707963267949</v>
      </c>
      <c r="AW165" t="str">
        <f t="shared" si="169"/>
        <v>1+0,0213322833363939i</v>
      </c>
      <c r="AX165">
        <f t="shared" si="194"/>
        <v>1.00022750727639</v>
      </c>
      <c r="AY165">
        <f t="shared" si="195"/>
        <v>0.0213290483517902</v>
      </c>
      <c r="AZ165" t="str">
        <f t="shared" si="170"/>
        <v>1+1,01986469482717i</v>
      </c>
      <c r="BA165">
        <f t="shared" si="196"/>
        <v>1.42832909224552</v>
      </c>
      <c r="BB165">
        <f t="shared" si="197"/>
        <v>0.795232512437309</v>
      </c>
      <c r="BC165" s="30" t="str">
        <f t="shared" si="198"/>
        <v>-0,120893142418486+0,123704846590594i</v>
      </c>
      <c r="BD165" s="32">
        <f t="shared" si="199"/>
        <v>-15.240668476659</v>
      </c>
      <c r="BE165" s="31">
        <f t="shared" si="200"/>
        <v>134.341402242654</v>
      </c>
      <c r="BF165" s="30" t="str">
        <f t="shared" si="201"/>
        <v>1,62993735703532+1,88352721492737i</v>
      </c>
      <c r="BG165" s="68">
        <f t="shared" si="202"/>
        <v>7.926977282381</v>
      </c>
      <c r="BH165" s="31">
        <f t="shared" si="203"/>
        <v>49.1282547062307</v>
      </c>
      <c r="BI165" s="30" t="str">
        <f t="shared" si="156"/>
        <v>8,60482271294607+10,9765573116279i</v>
      </c>
      <c r="BJ165" s="68">
        <f t="shared" si="204"/>
        <v>22.8898164022384</v>
      </c>
      <c r="BK165" s="31">
        <f t="shared" si="157"/>
        <v>51.9061344803689</v>
      </c>
      <c r="BL165" s="32">
        <f t="shared" si="205"/>
        <v>7.926977282381</v>
      </c>
      <c r="BM165" s="31">
        <f t="shared" si="206"/>
        <v>49.1282547062307</v>
      </c>
      <c r="BO165">
        <f t="shared" si="207"/>
        <v>0</v>
      </c>
      <c r="BP165">
        <f t="shared" si="208"/>
        <v>0</v>
      </c>
    </row>
    <row r="166" spans="14:68">
      <c r="N166" s="7">
        <v>48</v>
      </c>
      <c r="O166" s="18">
        <f t="shared" si="158"/>
        <v>301.995172040202</v>
      </c>
      <c r="P166" s="86" t="str">
        <f t="shared" si="159"/>
        <v>163,636363636364</v>
      </c>
      <c r="Q166" s="4" t="str">
        <f t="shared" si="160"/>
        <v>1+11,5919488534824i</v>
      </c>
      <c r="R166" s="4">
        <f t="shared" si="171"/>
        <v>11.63500228714</v>
      </c>
      <c r="S166" s="4">
        <f t="shared" si="172"/>
        <v>1.48474260289835</v>
      </c>
      <c r="T166" s="4" t="str">
        <f t="shared" si="161"/>
        <v>1+0,029752668723938i</v>
      </c>
      <c r="U166" s="4">
        <f t="shared" si="173"/>
        <v>1.00044251273934</v>
      </c>
      <c r="V166" s="4">
        <f t="shared" si="174"/>
        <v>0.0297438941519385</v>
      </c>
      <c r="W166" t="str">
        <f t="shared" si="162"/>
        <v>1-0,0284623744170326i</v>
      </c>
      <c r="X166" s="4">
        <f t="shared" si="175"/>
        <v>1.00040497137782</v>
      </c>
      <c r="Y166" s="4">
        <f t="shared" si="176"/>
        <v>-0.0284546922967401</v>
      </c>
      <c r="Z166" t="str">
        <f t="shared" si="163"/>
        <v>0,999999255501356+0,00589577755781389i</v>
      </c>
      <c r="AA166" s="4">
        <f t="shared" si="177"/>
        <v>1.00001663545977</v>
      </c>
      <c r="AB166" s="4">
        <f t="shared" si="178"/>
        <v>0.00589571363569907</v>
      </c>
      <c r="AC166" s="67" t="str">
        <f t="shared" si="179"/>
        <v>1,14517025625764-14,0291716201859i</v>
      </c>
      <c r="AD166" s="68">
        <f t="shared" si="180"/>
        <v>22.969482037739</v>
      </c>
      <c r="AE166" s="31">
        <f t="shared" si="181"/>
        <v>-85.3334184926439</v>
      </c>
      <c r="AF166" s="32" t="str">
        <f t="shared" si="182"/>
        <v>748,315388573934</v>
      </c>
      <c r="AG166" s="32" t="str">
        <f t="shared" si="164"/>
        <v>1+9,44529165839303i</v>
      </c>
      <c r="AH166" s="32">
        <f t="shared" si="183"/>
        <v>9.49808056988932</v>
      </c>
      <c r="AI166" s="32">
        <f t="shared" si="184"/>
        <v>1.46531641030959</v>
      </c>
      <c r="AJ166" s="32" t="str">
        <f t="shared" si="165"/>
        <v>1+0,029752668723938i</v>
      </c>
      <c r="AK166" s="32">
        <f t="shared" si="185"/>
        <v>1.00044251273934</v>
      </c>
      <c r="AL166" s="32">
        <f t="shared" si="186"/>
        <v>0.0297438941519385</v>
      </c>
      <c r="AM166" s="32" t="str">
        <f t="shared" si="166"/>
        <v>1-0,00507125968964836i</v>
      </c>
      <c r="AN166" s="32">
        <f t="shared" si="187"/>
        <v>1.00001285875475</v>
      </c>
      <c r="AO166" s="32">
        <f t="shared" si="188"/>
        <v>-0.00507121621664993</v>
      </c>
      <c r="AP166" s="30" t="str">
        <f t="shared" si="189"/>
        <v>10,2299273642178-78,1551694071662i</v>
      </c>
      <c r="AQ166" s="32">
        <f t="shared" si="190"/>
        <v>37.932930995587</v>
      </c>
      <c r="AR166" s="31">
        <f t="shared" si="191"/>
        <v>-82.5428056470221</v>
      </c>
      <c r="AS166" t="str">
        <f t="shared" si="167"/>
        <v>-0,0000504684572142411</v>
      </c>
      <c r="AT166" t="str">
        <f t="shared" si="168"/>
        <v>0,000426366368767147i</v>
      </c>
      <c r="AU166">
        <f t="shared" si="192"/>
        <v>0.000426366368767147</v>
      </c>
      <c r="AV166">
        <f t="shared" si="193"/>
        <v>1.5707963267949</v>
      </c>
      <c r="AW166" t="str">
        <f t="shared" si="169"/>
        <v>1+0,0218291760474794i</v>
      </c>
      <c r="AX166">
        <f t="shared" si="194"/>
        <v>1.00023822808715</v>
      </c>
      <c r="AY166">
        <f t="shared" si="195"/>
        <v>0.0218257097436118</v>
      </c>
      <c r="AZ166" t="str">
        <f t="shared" si="170"/>
        <v>1+1,04362039529119i</v>
      </c>
      <c r="BA166">
        <f t="shared" si="196"/>
        <v>1.44538698259938</v>
      </c>
      <c r="BB166">
        <f t="shared" si="197"/>
        <v>0.806739589032965</v>
      </c>
      <c r="BC166" s="30" t="str">
        <f t="shared" si="198"/>
        <v>-0,120890550904747+0,121007698391815i</v>
      </c>
      <c r="BD166" s="32">
        <f t="shared" si="199"/>
        <v>-15.3376444334835</v>
      </c>
      <c r="BE166" s="31">
        <f t="shared" si="200"/>
        <v>134.972252564521</v>
      </c>
      <c r="BF166" s="30" t="str">
        <f t="shared" si="201"/>
        <v>1,55919750494375+1,83456870287802i</v>
      </c>
      <c r="BG166" s="68">
        <f t="shared" si="202"/>
        <v>7.6318376042555</v>
      </c>
      <c r="BH166" s="31">
        <f t="shared" si="203"/>
        <v>49.6388340718772</v>
      </c>
      <c r="BI166" s="30" t="str">
        <f t="shared" si="156"/>
        <v>8,22067561260774+10,6861214507456i</v>
      </c>
      <c r="BJ166" s="68">
        <f t="shared" si="204"/>
        <v>22.5952865621035</v>
      </c>
      <c r="BK166" s="31">
        <f t="shared" si="157"/>
        <v>52.429446917499</v>
      </c>
      <c r="BL166" s="32">
        <f t="shared" si="205"/>
        <v>7.6318376042555</v>
      </c>
      <c r="BM166" s="31">
        <f t="shared" si="206"/>
        <v>49.6388340718772</v>
      </c>
      <c r="BO166">
        <f t="shared" si="207"/>
        <v>0</v>
      </c>
      <c r="BP166">
        <f t="shared" si="208"/>
        <v>0</v>
      </c>
    </row>
    <row r="167" spans="14:68">
      <c r="N167" s="7">
        <v>49</v>
      </c>
      <c r="O167" s="18">
        <f t="shared" si="158"/>
        <v>309.029543251359</v>
      </c>
      <c r="P167" s="86" t="str">
        <f t="shared" si="159"/>
        <v>163,636363636364</v>
      </c>
      <c r="Q167" s="4" t="str">
        <f t="shared" si="160"/>
        <v>1+11,8619600286454i</v>
      </c>
      <c r="R167" s="4">
        <f t="shared" si="171"/>
        <v>11.9040369505971</v>
      </c>
      <c r="S167" s="4">
        <f t="shared" si="172"/>
        <v>1.48669209407913</v>
      </c>
      <c r="T167" s="4" t="str">
        <f t="shared" si="161"/>
        <v>1+0,0304456974068565i</v>
      </c>
      <c r="U167" s="4">
        <f t="shared" si="173"/>
        <v>1.00046336289271</v>
      </c>
      <c r="V167" s="4">
        <f t="shared" si="174"/>
        <v>0.0304362955187337</v>
      </c>
      <c r="W167" t="str">
        <f t="shared" si="162"/>
        <v>1-0,0291253482846204i</v>
      </c>
      <c r="X167" s="4">
        <f t="shared" si="175"/>
        <v>1.00042405304586</v>
      </c>
      <c r="Y167" s="4">
        <f t="shared" si="176"/>
        <v>-0.0291171169328542</v>
      </c>
      <c r="Z167" t="str">
        <f t="shared" si="163"/>
        <v>0,999999220414216+0,00603310785895709i</v>
      </c>
      <c r="AA167" s="4">
        <f t="shared" si="177"/>
        <v>1.00001741945802</v>
      </c>
      <c r="AB167" s="4">
        <f t="shared" si="178"/>
        <v>0.00603303936524143</v>
      </c>
      <c r="AC167" s="67" t="str">
        <f t="shared" si="179"/>
        <v>1,09112581106751-13,714918154104i</v>
      </c>
      <c r="AD167" s="68">
        <f t="shared" si="180"/>
        <v>22.7712660553186</v>
      </c>
      <c r="AE167" s="31">
        <f t="shared" si="181"/>
        <v>-85.45126675407</v>
      </c>
      <c r="AF167" s="32" t="str">
        <f t="shared" si="182"/>
        <v>748,315388573934</v>
      </c>
      <c r="AG167" s="32" t="str">
        <f t="shared" si="164"/>
        <v>1+9,66530076408144i</v>
      </c>
      <c r="AH167" s="32">
        <f t="shared" si="183"/>
        <v>9.7168945069993</v>
      </c>
      <c r="AI167" s="32">
        <f t="shared" si="184"/>
        <v>1.46770025375204</v>
      </c>
      <c r="AJ167" s="32" t="str">
        <f t="shared" si="165"/>
        <v>1+0,0304456974068565i</v>
      </c>
      <c r="AK167" s="32">
        <f t="shared" si="185"/>
        <v>1.00046336289271</v>
      </c>
      <c r="AL167" s="32">
        <f t="shared" si="186"/>
        <v>0.0304362955187337</v>
      </c>
      <c r="AM167" s="32" t="str">
        <f t="shared" si="166"/>
        <v>1-0,00518938450245303i</v>
      </c>
      <c r="AN167" s="32">
        <f t="shared" si="187"/>
        <v>1.00001346476511</v>
      </c>
      <c r="AO167" s="32">
        <f t="shared" si="188"/>
        <v>-0.00518933792032983</v>
      </c>
      <c r="AP167" s="30" t="str">
        <f t="shared" si="189"/>
        <v>9,86151369513267-76,4148082475619i</v>
      </c>
      <c r="AQ167" s="32">
        <f t="shared" si="190"/>
        <v>37.7352845095271</v>
      </c>
      <c r="AR167" s="31">
        <f t="shared" si="191"/>
        <v>-82.6464860143374</v>
      </c>
      <c r="AS167" t="str">
        <f t="shared" si="167"/>
        <v>-0,0000504684572142411</v>
      </c>
      <c r="AT167" t="str">
        <f t="shared" si="168"/>
        <v>0,000436297717303613i</v>
      </c>
      <c r="AU167">
        <f t="shared" si="192"/>
        <v>0.000436297717303613</v>
      </c>
      <c r="AV167">
        <f t="shared" si="193"/>
        <v>1.5707963267949</v>
      </c>
      <c r="AW167" t="str">
        <f t="shared" si="169"/>
        <v>1+0,0223376428766485i</v>
      </c>
      <c r="AX167">
        <f t="shared" si="194"/>
        <v>1.00024945403099</v>
      </c>
      <c r="AY167">
        <f t="shared" si="195"/>
        <v>0.0223339287151628</v>
      </c>
      <c r="AZ167" t="str">
        <f t="shared" si="170"/>
        <v>1+1,06792943710275i</v>
      </c>
      <c r="BA167">
        <f t="shared" si="196"/>
        <v>1.46303563956269</v>
      </c>
      <c r="BB167">
        <f t="shared" si="197"/>
        <v>0.818235366850441</v>
      </c>
      <c r="BC167" s="30" t="str">
        <f t="shared" si="198"/>
        <v>-0,120887837375808+0,118374704745515i</v>
      </c>
      <c r="BD167" s="32">
        <f t="shared" si="199"/>
        <v>-15.4323265849761</v>
      </c>
      <c r="BE167" s="31">
        <f t="shared" si="200"/>
        <v>135.601793313544</v>
      </c>
      <c r="BF167" s="30" t="str">
        <f t="shared" si="201"/>
        <v>1,49159554749609+1,78712849116117i</v>
      </c>
      <c r="BG167" s="68">
        <f t="shared" si="202"/>
        <v>7.33893947034256</v>
      </c>
      <c r="BH167" s="31">
        <f t="shared" si="203"/>
        <v>50.1505265594739</v>
      </c>
      <c r="BI167" s="30" t="str">
        <f t="shared" si="156"/>
        <v>7,85344330063378+10,40497468454i</v>
      </c>
      <c r="BJ167" s="68">
        <f t="shared" si="204"/>
        <v>22.302957924551</v>
      </c>
      <c r="BK167" s="31">
        <f t="shared" si="157"/>
        <v>52.9553072992065</v>
      </c>
      <c r="BL167" s="32">
        <f t="shared" si="205"/>
        <v>7.33893947034256</v>
      </c>
      <c r="BM167" s="31">
        <f t="shared" si="206"/>
        <v>50.1505265594739</v>
      </c>
      <c r="BO167">
        <f t="shared" si="207"/>
        <v>0</v>
      </c>
      <c r="BP167">
        <f t="shared" si="208"/>
        <v>0</v>
      </c>
    </row>
    <row r="168" spans="14:68">
      <c r="N168" s="7">
        <v>50</v>
      </c>
      <c r="O168" s="18">
        <f t="shared" si="158"/>
        <v>316.227766016838</v>
      </c>
      <c r="P168" s="86" t="str">
        <f t="shared" si="159"/>
        <v>163,636363636364</v>
      </c>
      <c r="Q168" s="4" t="str">
        <f t="shared" si="160"/>
        <v>1+12,1382605720272i</v>
      </c>
      <c r="R168" s="4">
        <f t="shared" si="171"/>
        <v>12.1793829775744</v>
      </c>
      <c r="S168" s="4">
        <f t="shared" si="172"/>
        <v>1.48859782880938</v>
      </c>
      <c r="T168" s="4" t="str">
        <f t="shared" si="161"/>
        <v>1+0,0311548688015366i</v>
      </c>
      <c r="U168" s="4">
        <f t="shared" si="173"/>
        <v>1.00048519521782</v>
      </c>
      <c r="V168" s="4">
        <f t="shared" si="174"/>
        <v>0.0311447947607563</v>
      </c>
      <c r="W168" t="str">
        <f t="shared" si="162"/>
        <v>1-0,0298037647973883i</v>
      </c>
      <c r="X168" s="4">
        <f t="shared" si="175"/>
        <v>1.00044403361512</v>
      </c>
      <c r="Y168" s="4">
        <f t="shared" si="176"/>
        <v>-0.0297949449564753</v>
      </c>
      <c r="Z168" t="str">
        <f t="shared" si="163"/>
        <v>0,999999183673469+0,00617363699374472i</v>
      </c>
      <c r="AA168" s="4">
        <f t="shared" si="177"/>
        <v>1.00001824040431</v>
      </c>
      <c r="AB168" s="4">
        <f t="shared" si="178"/>
        <v>0.00617356360147837</v>
      </c>
      <c r="AC168" s="67" t="str">
        <f t="shared" si="179"/>
        <v>1,03947990345125-13,4075290805931i</v>
      </c>
      <c r="AD168" s="68">
        <f t="shared" si="180"/>
        <v>22.5730015279116</v>
      </c>
      <c r="AE168" s="31">
        <f t="shared" si="181"/>
        <v>-85.5667514252734</v>
      </c>
      <c r="AF168" s="32" t="str">
        <f t="shared" si="182"/>
        <v>748,315388573934</v>
      </c>
      <c r="AG168" s="32" t="str">
        <f t="shared" si="164"/>
        <v>1+9,89043454017035i</v>
      </c>
      <c r="AH168" s="32">
        <f t="shared" si="183"/>
        <v>9.94085989205132</v>
      </c>
      <c r="AI168" s="32">
        <f t="shared" si="184"/>
        <v>1.47003097109766</v>
      </c>
      <c r="AJ168" s="32" t="str">
        <f t="shared" si="165"/>
        <v>1+0,0311548688015366i</v>
      </c>
      <c r="AK168" s="32">
        <f t="shared" si="185"/>
        <v>1.00048519521782</v>
      </c>
      <c r="AL168" s="32">
        <f t="shared" si="186"/>
        <v>0.0311447947607563</v>
      </c>
      <c r="AM168" s="32" t="str">
        <f t="shared" si="166"/>
        <v>1-0,00531026079561053i</v>
      </c>
      <c r="AN168" s="32">
        <f t="shared" si="187"/>
        <v>1.00001409933546</v>
      </c>
      <c r="AO168" s="32">
        <f t="shared" si="188"/>
        <v>-0.00531021088200425</v>
      </c>
      <c r="AP168" s="30" t="str">
        <f t="shared" si="189"/>
        <v>9,50933788026866-74,7115659426639i</v>
      </c>
      <c r="AQ168" s="32">
        <f t="shared" si="190"/>
        <v>37.5375502633048</v>
      </c>
      <c r="AR168" s="31">
        <f t="shared" si="191"/>
        <v>-82.7463577756847</v>
      </c>
      <c r="AS168" t="str">
        <f t="shared" si="167"/>
        <v>-0,0000504684572142411</v>
      </c>
      <c r="AT168" t="str">
        <f t="shared" si="168"/>
        <v>0,000446460396664877i</v>
      </c>
      <c r="AU168">
        <f t="shared" si="192"/>
        <v>0.000446460396664877</v>
      </c>
      <c r="AV168">
        <f t="shared" si="193"/>
        <v>1.5707963267949</v>
      </c>
      <c r="AW168" t="str">
        <f t="shared" si="169"/>
        <v>1+0,0228579534197445i</v>
      </c>
      <c r="AX168">
        <f t="shared" si="194"/>
        <v>1.00026120890222</v>
      </c>
      <c r="AY168">
        <f t="shared" si="195"/>
        <v>0.0228539736801384</v>
      </c>
      <c r="AZ168" t="str">
        <f t="shared" si="170"/>
        <v>1+1,09280470923757i</v>
      </c>
      <c r="BA168">
        <f t="shared" si="196"/>
        <v>1.48129069818581</v>
      </c>
      <c r="BB168">
        <f t="shared" si="197"/>
        <v>0.829713788549334</v>
      </c>
      <c r="BC168" s="30" t="str">
        <f t="shared" si="198"/>
        <v>-0,12088499609275+0,11580446922273i</v>
      </c>
      <c r="BD168" s="32">
        <f t="shared" si="199"/>
        <v>-15.5247208603077</v>
      </c>
      <c r="BE168" s="31">
        <f t="shared" si="200"/>
        <v>136.229662050712</v>
      </c>
      <c r="BF168" s="30" t="str">
        <f t="shared" si="201"/>
        <v>1,4269942646992+1,7411455190078i</v>
      </c>
      <c r="BG168" s="68">
        <f t="shared" si="202"/>
        <v>7.04828066760385</v>
      </c>
      <c r="BH168" s="31">
        <f t="shared" si="203"/>
        <v>50.6629106254385</v>
      </c>
      <c r="BI168" s="30" t="str">
        <f t="shared" si="156"/>
        <v>7,50239696628827+10,1327311829463i</v>
      </c>
      <c r="BJ168" s="68">
        <f t="shared" si="204"/>
        <v>22.0128294029971</v>
      </c>
      <c r="BK168" s="31">
        <f t="shared" si="157"/>
        <v>53.4833042750272</v>
      </c>
      <c r="BL168" s="32">
        <f t="shared" si="205"/>
        <v>7.04828066760385</v>
      </c>
      <c r="BM168" s="31">
        <f t="shared" si="206"/>
        <v>50.6629106254385</v>
      </c>
      <c r="BO168">
        <f t="shared" si="207"/>
        <v>0</v>
      </c>
      <c r="BP168">
        <f t="shared" si="208"/>
        <v>0</v>
      </c>
    </row>
    <row r="169" spans="14:68">
      <c r="N169" s="7">
        <v>51</v>
      </c>
      <c r="O169" s="18">
        <f t="shared" si="158"/>
        <v>323.593656929628</v>
      </c>
      <c r="P169" s="86" t="str">
        <f t="shared" si="159"/>
        <v>163,636363636364</v>
      </c>
      <c r="Q169" s="4" t="str">
        <f t="shared" si="160"/>
        <v>1+12,4209969818333i</v>
      </c>
      <c r="R169" s="4">
        <f t="shared" si="171"/>
        <v>12.4611863810278</v>
      </c>
      <c r="S169" s="4">
        <f t="shared" si="172"/>
        <v>1.49046076213372</v>
      </c>
      <c r="T169" s="4" t="str">
        <f t="shared" si="161"/>
        <v>1+0,0318805589200387i</v>
      </c>
      <c r="U169" s="4">
        <f t="shared" si="173"/>
        <v>1.0005080559581</v>
      </c>
      <c r="V169" s="4">
        <f t="shared" si="174"/>
        <v>0.0318697646868853</v>
      </c>
      <c r="W169" t="str">
        <f t="shared" si="162"/>
        <v>1-0,0304979836607513i</v>
      </c>
      <c r="X169" s="4">
        <f t="shared" si="175"/>
        <v>1.00046495541192</v>
      </c>
      <c r="Y169" s="4">
        <f t="shared" si="176"/>
        <v>-0.0304885332681391</v>
      </c>
      <c r="Z169" t="str">
        <f t="shared" si="163"/>
        <v>0,999999145201185+0,00631743947258419i</v>
      </c>
      <c r="AA169" s="4">
        <f t="shared" si="177"/>
        <v>1.00001910003989</v>
      </c>
      <c r="AB169" s="4">
        <f t="shared" si="178"/>
        <v>0.00631736083143502</v>
      </c>
      <c r="AC169" s="67" t="str">
        <f t="shared" si="179"/>
        <v>0,990127491713034-13,1068682496334i</v>
      </c>
      <c r="AD169" s="68">
        <f t="shared" si="180"/>
        <v>22.3746920742588</v>
      </c>
      <c r="AE169" s="31">
        <f t="shared" si="181"/>
        <v>-85.6799305825914</v>
      </c>
      <c r="AF169" s="32" t="str">
        <f t="shared" si="182"/>
        <v>748,315388573934</v>
      </c>
      <c r="AG169" s="32" t="str">
        <f t="shared" si="164"/>
        <v>1+10,1208123555678i</v>
      </c>
      <c r="AH169" s="32">
        <f t="shared" si="183"/>
        <v>10.1700955126593</v>
      </c>
      <c r="AI169" s="32">
        <f t="shared" si="184"/>
        <v>1.47230969678003</v>
      </c>
      <c r="AJ169" s="32" t="str">
        <f t="shared" si="165"/>
        <v>1+0,0318805589200387i</v>
      </c>
      <c r="AK169" s="32">
        <f t="shared" si="185"/>
        <v>1.0005080559581</v>
      </c>
      <c r="AL169" s="32">
        <f t="shared" si="186"/>
        <v>0.0318697646868853</v>
      </c>
      <c r="AM169" s="32" t="str">
        <f t="shared" si="166"/>
        <v>1-0,00543395265933147i</v>
      </c>
      <c r="AN169" s="32">
        <f t="shared" si="187"/>
        <v>1.00001476381177</v>
      </c>
      <c r="AO169" s="32">
        <f t="shared" si="188"/>
        <v>-0.00543389917598139</v>
      </c>
      <c r="AP169" s="30" t="str">
        <f t="shared" si="189"/>
        <v>9,1726988706739-73,0447616237762i</v>
      </c>
      <c r="AQ169" s="32">
        <f t="shared" si="190"/>
        <v>37.3397329261446</v>
      </c>
      <c r="AR169" s="31">
        <f t="shared" si="191"/>
        <v>-82.8424682401312</v>
      </c>
      <c r="AS169" t="str">
        <f t="shared" si="167"/>
        <v>-0,0000504684572142411</v>
      </c>
      <c r="AT169" t="str">
        <f t="shared" si="168"/>
        <v>0,000456859795238054i</v>
      </c>
      <c r="AU169">
        <f t="shared" si="192"/>
        <v>0.000456859795238054</v>
      </c>
      <c r="AV169">
        <f t="shared" si="193"/>
        <v>1.5707963267949</v>
      </c>
      <c r="AW169" t="str">
        <f t="shared" si="169"/>
        <v>1+0,0233903835523044i</v>
      </c>
      <c r="AX169">
        <f t="shared" si="194"/>
        <v>1.00027351761542</v>
      </c>
      <c r="AY169">
        <f t="shared" si="195"/>
        <v>0.0233861192474618</v>
      </c>
      <c r="AZ169" t="str">
        <f t="shared" si="170"/>
        <v>1+1,11825940089421i</v>
      </c>
      <c r="BA169">
        <f t="shared" si="196"/>
        <v>1.50016801981921</v>
      </c>
      <c r="BB169">
        <f t="shared" si="197"/>
        <v>0.841168842522766</v>
      </c>
      <c r="BC169" s="30" t="str">
        <f t="shared" si="198"/>
        <v>-0,120882021047294+0,113295628642492i</v>
      </c>
      <c r="BD169" s="32">
        <f t="shared" si="199"/>
        <v>-15.6148355963847</v>
      </c>
      <c r="BE169" s="31">
        <f t="shared" si="200"/>
        <v>136.85549860239</v>
      </c>
      <c r="BF169" s="30" t="str">
        <f t="shared" si="201"/>
        <v>1,36526226558378+1,69656184022614i</v>
      </c>
      <c r="BG169" s="68">
        <f t="shared" si="202"/>
        <v>6.75985647787405</v>
      </c>
      <c r="BH169" s="31">
        <f t="shared" si="203"/>
        <v>51.1755680197985</v>
      </c>
      <c r="BI169" s="30" t="str">
        <f t="shared" si="156"/>
        <v>7,16683780926141+9,86902509690116i</v>
      </c>
      <c r="BJ169" s="68">
        <f t="shared" si="204"/>
        <v>21.7248973297599</v>
      </c>
      <c r="BK169" s="31">
        <f t="shared" si="157"/>
        <v>54.0130303622587</v>
      </c>
      <c r="BL169" s="32">
        <f t="shared" si="205"/>
        <v>6.75985647787405</v>
      </c>
      <c r="BM169" s="31">
        <f t="shared" si="206"/>
        <v>51.1755680197985</v>
      </c>
      <c r="BO169">
        <f t="shared" si="207"/>
        <v>0</v>
      </c>
      <c r="BP169">
        <f t="shared" si="208"/>
        <v>0</v>
      </c>
    </row>
    <row r="170" spans="14:68">
      <c r="N170" s="7">
        <v>52</v>
      </c>
      <c r="O170" s="18">
        <f t="shared" si="158"/>
        <v>331.131121482591</v>
      </c>
      <c r="P170" s="86" t="str">
        <f t="shared" si="159"/>
        <v>163,636363636364</v>
      </c>
      <c r="Q170" s="4" t="str">
        <f t="shared" si="160"/>
        <v>1+12,7103191686503i</v>
      </c>
      <c r="R170" s="4">
        <f t="shared" si="171"/>
        <v>12.7495965963225</v>
      </c>
      <c r="S170" s="4">
        <f t="shared" si="172"/>
        <v>1.49228183005245</v>
      </c>
      <c r="T170" s="4" t="str">
        <f t="shared" si="161"/>
        <v>1+0,0326231525328692i</v>
      </c>
      <c r="U170" s="4">
        <f t="shared" si="173"/>
        <v>1.00053199353203</v>
      </c>
      <c r="V170" s="4">
        <f t="shared" si="174"/>
        <v>0.0326115866357828</v>
      </c>
      <c r="W170" t="str">
        <f t="shared" si="162"/>
        <v>1-0,0312083729587397i</v>
      </c>
      <c r="X170" s="4">
        <f t="shared" si="175"/>
        <v>1.0004868627537</v>
      </c>
      <c r="Y170" s="4">
        <f t="shared" si="176"/>
        <v>-0.0311982469467347</v>
      </c>
      <c r="Z170" t="str">
        <f t="shared" si="163"/>
        <v>0,999999104915758+0,00646459154145322i</v>
      </c>
      <c r="AA170" s="4">
        <f t="shared" si="177"/>
        <v>1.00002000018805</v>
      </c>
      <c r="AB170" s="4">
        <f t="shared" si="178"/>
        <v>0.00646450727603468</v>
      </c>
      <c r="AC170" s="67" t="str">
        <f t="shared" si="179"/>
        <v>0,942968007586756-12,8128013267386i</v>
      </c>
      <c r="AD170" s="68">
        <f t="shared" si="180"/>
        <v>22.1763412228672</v>
      </c>
      <c r="AE170" s="31">
        <f t="shared" si="181"/>
        <v>-85.7908612904116</v>
      </c>
      <c r="AF170" s="32" t="str">
        <f t="shared" si="182"/>
        <v>748,315388573934</v>
      </c>
      <c r="AG170" s="32" t="str">
        <f t="shared" si="164"/>
        <v>1+10,356556359641i</v>
      </c>
      <c r="AH170" s="32">
        <f t="shared" si="183"/>
        <v>10.4047229482779</v>
      </c>
      <c r="AI170" s="32">
        <f t="shared" si="184"/>
        <v>1.47453754429781</v>
      </c>
      <c r="AJ170" s="32" t="str">
        <f t="shared" si="165"/>
        <v>1+0,0326231525328692i</v>
      </c>
      <c r="AK170" s="32">
        <f t="shared" si="185"/>
        <v>1.00053199353203</v>
      </c>
      <c r="AL170" s="32">
        <f t="shared" si="186"/>
        <v>0.0326115866357828</v>
      </c>
      <c r="AM170" s="32" t="str">
        <f t="shared" si="166"/>
        <v>1-0,00556052567667926i</v>
      </c>
      <c r="AN170" s="32">
        <f t="shared" si="187"/>
        <v>1.0000154596034</v>
      </c>
      <c r="AO170" s="32">
        <f t="shared" si="188"/>
        <v>-0.00556046836828499</v>
      </c>
      <c r="AP170" s="30" t="str">
        <f t="shared" si="189"/>
        <v>8,85092460710203-71,4137193966643i</v>
      </c>
      <c r="AQ170" s="32">
        <f t="shared" si="190"/>
        <v>37.1418370026911</v>
      </c>
      <c r="AR170" s="31">
        <f t="shared" si="191"/>
        <v>-82.9348631140123</v>
      </c>
      <c r="AS170" t="str">
        <f t="shared" si="167"/>
        <v>-0,0000504684572142411</v>
      </c>
      <c r="AT170" t="str">
        <f t="shared" si="168"/>
        <v>0,000467501426921921i</v>
      </c>
      <c r="AU170">
        <f t="shared" si="192"/>
        <v>0.000467501426921921</v>
      </c>
      <c r="AV170">
        <f t="shared" si="193"/>
        <v>1.5707963267949</v>
      </c>
      <c r="AW170" t="str">
        <f t="shared" si="169"/>
        <v>1+0,0239352155758321i</v>
      </c>
      <c r="AX170">
        <f t="shared" si="194"/>
        <v>1.00028640625806</v>
      </c>
      <c r="AY170">
        <f t="shared" si="195"/>
        <v>0.0239306463615265</v>
      </c>
      <c r="AZ170" t="str">
        <f t="shared" si="170"/>
        <v>1+1,14430700848712i</v>
      </c>
      <c r="BA170">
        <f t="shared" si="196"/>
        <v>1.51968369395501</v>
      </c>
      <c r="BB170">
        <f t="shared" si="197"/>
        <v>0.852594578476312</v>
      </c>
      <c r="BC170" s="30" t="str">
        <f t="shared" si="198"/>
        <v>-0,120878905949211+0,110846852347112i</v>
      </c>
      <c r="BD170" s="32">
        <f t="shared" si="199"/>
        <v>-15.7026815042127</v>
      </c>
      <c r="BE170" s="31">
        <f t="shared" si="200"/>
        <v>137.478945944893</v>
      </c>
      <c r="BF170" s="30" t="str">
        <f t="shared" si="201"/>
        <v>1,30627375571568+1,65332244202578i</v>
      </c>
      <c r="BG170" s="68">
        <f t="shared" si="202"/>
        <v>6.47365971865454</v>
      </c>
      <c r="BH170" s="31">
        <f t="shared" si="203"/>
        <v>51.688084654481</v>
      </c>
      <c r="BI170" s="30" t="str">
        <f t="shared" si="156"/>
        <v>6,84609592637469+9,61350940349159i</v>
      </c>
      <c r="BJ170" s="68">
        <f t="shared" si="204"/>
        <v>21.4391554984784</v>
      </c>
      <c r="BK170" s="31">
        <f t="shared" si="157"/>
        <v>54.5440828308804</v>
      </c>
      <c r="BL170" s="32">
        <f t="shared" si="205"/>
        <v>6.47365971865454</v>
      </c>
      <c r="BM170" s="31">
        <f t="shared" si="206"/>
        <v>51.688084654481</v>
      </c>
      <c r="BO170">
        <f t="shared" si="207"/>
        <v>0</v>
      </c>
      <c r="BP170">
        <f t="shared" si="208"/>
        <v>0</v>
      </c>
    </row>
    <row r="171" spans="14:68">
      <c r="N171" s="7">
        <v>53</v>
      </c>
      <c r="O171" s="18">
        <f t="shared" si="158"/>
        <v>338.844156139203</v>
      </c>
      <c r="P171" s="86" t="str">
        <f t="shared" si="159"/>
        <v>163,636363636364</v>
      </c>
      <c r="Q171" s="4" t="str">
        <f t="shared" si="160"/>
        <v>1+13,0063805349317i</v>
      </c>
      <c r="R171" s="4">
        <f t="shared" si="171"/>
        <v>13.0447665605579</v>
      </c>
      <c r="S171" s="4">
        <f t="shared" si="172"/>
        <v>1.49406194977945</v>
      </c>
      <c r="T171" s="4" t="str">
        <f t="shared" si="161"/>
        <v>1+0,0333830433729914i</v>
      </c>
      <c r="U171" s="4">
        <f t="shared" si="173"/>
        <v>1.00055705863526</v>
      </c>
      <c r="V171" s="4">
        <f t="shared" si="174"/>
        <v>0.0333706506636026</v>
      </c>
      <c r="W171" t="str">
        <f t="shared" si="162"/>
        <v>1-0,0319353093491627i</v>
      </c>
      <c r="X171" s="4">
        <f t="shared" si="175"/>
        <v>1.00050980204255</v>
      </c>
      <c r="Y171" s="4">
        <f t="shared" si="176"/>
        <v>-0.0319244594303879</v>
      </c>
      <c r="Z171" t="str">
        <f t="shared" si="163"/>
        <v>0,999999062731738+0,00661517122232655i</v>
      </c>
      <c r="AA171" s="4">
        <f t="shared" si="177"/>
        <v>1.00002094275803</v>
      </c>
      <c r="AB171" s="4">
        <f t="shared" si="178"/>
        <v>0.00661508093040588</v>
      </c>
      <c r="AC171" s="67" t="str">
        <f t="shared" si="179"/>
        <v>0,897905176701407-12,5251958344703i</v>
      </c>
      <c r="AD171" s="68">
        <f t="shared" si="180"/>
        <v>21.9779524190172</v>
      </c>
      <c r="AE171" s="31">
        <f t="shared" si="181"/>
        <v>-85.8995996178667</v>
      </c>
      <c r="AF171" s="32" t="str">
        <f t="shared" si="182"/>
        <v>748,315388573934</v>
      </c>
      <c r="AG171" s="32" t="str">
        <f t="shared" si="164"/>
        <v>1+10,5977915469814i</v>
      </c>
      <c r="AH171" s="32">
        <f t="shared" si="183"/>
        <v>10.6448666348278</v>
      </c>
      <c r="AI171" s="32">
        <f t="shared" si="184"/>
        <v>1.47671560637675</v>
      </c>
      <c r="AJ171" s="32" t="str">
        <f t="shared" si="165"/>
        <v>1+0,0333830433729914i</v>
      </c>
      <c r="AK171" s="32">
        <f t="shared" si="185"/>
        <v>1.00055705863526</v>
      </c>
      <c r="AL171" s="32">
        <f t="shared" si="186"/>
        <v>0.0333706506636026</v>
      </c>
      <c r="AM171" s="32" t="str">
        <f t="shared" si="166"/>
        <v>1-0,00569004695834311i</v>
      </c>
      <c r="AN171" s="32">
        <f t="shared" si="187"/>
        <v>1.00001618818617</v>
      </c>
      <c r="AO171" s="32">
        <f t="shared" si="188"/>
        <v>-0.00568998555134599</v>
      </c>
      <c r="AP171" s="30" t="str">
        <f t="shared" si="189"/>
        <v>8,54337093349431-69,8177688889085i</v>
      </c>
      <c r="AQ171" s="32">
        <f t="shared" si="190"/>
        <v>36.9438668415364</v>
      </c>
      <c r="AR171" s="31">
        <f t="shared" si="191"/>
        <v>-83.0235865014424</v>
      </c>
      <c r="AS171" t="str">
        <f t="shared" si="167"/>
        <v>-0,0000504684572142411</v>
      </c>
      <c r="AT171" t="str">
        <f t="shared" si="168"/>
        <v>0,000478390934050456i</v>
      </c>
      <c r="AU171">
        <f t="shared" si="192"/>
        <v>0.000478390934050456</v>
      </c>
      <c r="AV171">
        <f t="shared" si="193"/>
        <v>1.5707963267949</v>
      </c>
      <c r="AW171" t="str">
        <f t="shared" si="169"/>
        <v>1+0,0244927383674783i</v>
      </c>
      <c r="AX171">
        <f t="shared" si="194"/>
        <v>1.00029990214572</v>
      </c>
      <c r="AY171">
        <f t="shared" si="195"/>
        <v>0.0244878424454152</v>
      </c>
      <c r="AZ171" t="str">
        <f t="shared" si="170"/>
        <v>1+1,17096134280263i</v>
      </c>
      <c r="BA171">
        <f t="shared" si="196"/>
        <v>1.53985404059545</v>
      </c>
      <c r="BB171">
        <f t="shared" si="197"/>
        <v>0.863985122616545</v>
      </c>
      <c r="BC171" s="30" t="str">
        <f t="shared" si="198"/>
        <v>-0,120875644213152+0,108456841494569i</v>
      </c>
      <c r="BD171" s="32">
        <f t="shared" si="199"/>
        <v>-15.7882716256263</v>
      </c>
      <c r="BE171" s="31">
        <f t="shared" si="200"/>
        <v>138.099651066517</v>
      </c>
      <c r="BF171" s="30" t="str">
        <f t="shared" si="201"/>
        <v>1,24990831263147+1,61137507481414i</v>
      </c>
      <c r="BG171" s="68">
        <f t="shared" si="202"/>
        <v>6.18968079339083</v>
      </c>
      <c r="BH171" s="31">
        <f t="shared" si="203"/>
        <v>52.2000514486506</v>
      </c>
      <c r="BI171" s="30" t="str">
        <f t="shared" si="156"/>
        <v>6,53952922855076+9,36585481913508i</v>
      </c>
      <c r="BJ171" s="68">
        <f t="shared" si="204"/>
        <v>21.15559521591</v>
      </c>
      <c r="BK171" s="31">
        <f t="shared" si="157"/>
        <v>55.0760645650748</v>
      </c>
      <c r="BL171" s="32">
        <f t="shared" si="205"/>
        <v>6.18968079339083</v>
      </c>
      <c r="BM171" s="31">
        <f t="shared" si="206"/>
        <v>52.2000514486506</v>
      </c>
      <c r="BO171">
        <f t="shared" si="207"/>
        <v>0</v>
      </c>
      <c r="BP171">
        <f t="shared" si="208"/>
        <v>0</v>
      </c>
    </row>
    <row r="172" spans="14:68">
      <c r="N172" s="7">
        <v>54</v>
      </c>
      <c r="O172" s="18">
        <f t="shared" si="158"/>
        <v>346.736850452532</v>
      </c>
      <c r="P172" s="86" t="str">
        <f t="shared" si="159"/>
        <v>163,636363636364</v>
      </c>
      <c r="Q172" s="4" t="str">
        <f t="shared" si="160"/>
        <v>1+13,3093380563324i</v>
      </c>
      <c r="R172" s="4">
        <f t="shared" si="171"/>
        <v>13.346852793739</v>
      </c>
      <c r="S172" s="4">
        <f t="shared" si="172"/>
        <v>1.49580202000542</v>
      </c>
      <c r="T172" s="4" t="str">
        <f t="shared" si="161"/>
        <v>1+0,0341606343445864i</v>
      </c>
      <c r="U172" s="4">
        <f t="shared" si="173"/>
        <v>1.00058330434743</v>
      </c>
      <c r="V172" s="4">
        <f t="shared" si="174"/>
        <v>0.03414735573529</v>
      </c>
      <c r="W172" t="str">
        <f t="shared" si="162"/>
        <v>1-0,0326791782633161i</v>
      </c>
      <c r="X172" s="4">
        <f t="shared" si="175"/>
        <v>1.00053382186309</v>
      </c>
      <c r="Y172" s="4">
        <f t="shared" si="176"/>
        <v>-0.0326675527008714</v>
      </c>
      <c r="Z172" t="str">
        <f t="shared" si="163"/>
        <v>0,999999018559645+0,00676925835454404i</v>
      </c>
      <c r="AA172" s="4">
        <f t="shared" si="177"/>
        <v>1.000021929749</v>
      </c>
      <c r="AB172" s="4">
        <f t="shared" si="178"/>
        <v>0.00676916160512247</v>
      </c>
      <c r="AC172" s="67" t="str">
        <f t="shared" si="179"/>
        <v>0,854846845265302-12,2439211878602i</v>
      </c>
      <c r="AD172" s="68">
        <f t="shared" si="180"/>
        <v>21.7795290316315</v>
      </c>
      <c r="AE172" s="31">
        <f t="shared" si="181"/>
        <v>-86.0062006558863</v>
      </c>
      <c r="AF172" s="32" t="str">
        <f t="shared" si="182"/>
        <v>748,315388573934</v>
      </c>
      <c r="AG172" s="32" t="str">
        <f t="shared" si="164"/>
        <v>1+10,8446458236782i</v>
      </c>
      <c r="AH172" s="32">
        <f t="shared" si="183"/>
        <v>10.8906539308262</v>
      </c>
      <c r="AI172" s="32">
        <f t="shared" si="184"/>
        <v>1.47884495514764</v>
      </c>
      <c r="AJ172" s="32" t="str">
        <f t="shared" si="165"/>
        <v>1+0,0341606343445864i</v>
      </c>
      <c r="AK172" s="32">
        <f t="shared" si="185"/>
        <v>1.00058330434743</v>
      </c>
      <c r="AL172" s="32">
        <f t="shared" si="186"/>
        <v>0.03414735573529</v>
      </c>
      <c r="AM172" s="32" t="str">
        <f t="shared" si="166"/>
        <v>1-0,0058225851782209i</v>
      </c>
      <c r="AN172" s="32">
        <f t="shared" si="187"/>
        <v>1.00001695110541</v>
      </c>
      <c r="AO172" s="32">
        <f t="shared" si="188"/>
        <v>-0.00582251937949825</v>
      </c>
      <c r="AP172" s="30" t="str">
        <f t="shared" si="189"/>
        <v>8,2494205410772-68,256245745202i</v>
      </c>
      <c r="AQ172" s="32">
        <f t="shared" si="190"/>
        <v>36.7458266435034</v>
      </c>
      <c r="AR172" s="31">
        <f t="shared" si="191"/>
        <v>-83.1086809055874</v>
      </c>
      <c r="AS172" t="str">
        <f t="shared" si="167"/>
        <v>-0,0000504684572142411</v>
      </c>
      <c r="AT172" t="str">
        <f t="shared" si="168"/>
        <v>0,000489534090384475i</v>
      </c>
      <c r="AU172">
        <f t="shared" si="192"/>
        <v>0.000489534090384475</v>
      </c>
      <c r="AV172">
        <f t="shared" si="193"/>
        <v>1.5707963267949</v>
      </c>
      <c r="AW172" t="str">
        <f t="shared" si="169"/>
        <v>1+0,0250632475332064i</v>
      </c>
      <c r="AX172">
        <f t="shared" si="194"/>
        <v>1.00031403387982</v>
      </c>
      <c r="AY172">
        <f t="shared" si="195"/>
        <v>0.0250580015471436</v>
      </c>
      <c r="AZ172" t="str">
        <f t="shared" si="170"/>
        <v>1+1,19823653632159i</v>
      </c>
      <c r="BA172">
        <f t="shared" si="196"/>
        <v>1.56069561317252</v>
      </c>
      <c r="BB172">
        <f t="shared" si="197"/>
        <v>0.875334692356383</v>
      </c>
      <c r="BC172" s="30" t="str">
        <f t="shared" si="198"/>
        <v>-0,120872228944869+0,106124328367624i</v>
      </c>
      <c r="BD172" s="32">
        <f t="shared" si="199"/>
        <v>-15.8716212807718</v>
      </c>
      <c r="BE172" s="31">
        <f t="shared" si="200"/>
        <v>138.717265801719</v>
      </c>
      <c r="BF172" s="30" t="str">
        <f t="shared" si="201"/>
        <v>1,19605066905408+1,57067009231293i</v>
      </c>
      <c r="BG172" s="68">
        <f t="shared" si="202"/>
        <v>5.90790775085973</v>
      </c>
      <c r="BH172" s="31">
        <f t="shared" si="203"/>
        <v>52.7110651458331</v>
      </c>
      <c r="BI172" s="30" t="str">
        <f t="shared" si="156"/>
        <v>6,24652238830147+9,1257487769752i</v>
      </c>
      <c r="BJ172" s="68">
        <f t="shared" si="204"/>
        <v>20.8742053627316</v>
      </c>
      <c r="BK172" s="31">
        <f t="shared" si="157"/>
        <v>55.608584896132</v>
      </c>
      <c r="BL172" s="32">
        <f t="shared" si="205"/>
        <v>5.90790775085973</v>
      </c>
      <c r="BM172" s="31">
        <f t="shared" si="206"/>
        <v>52.7110651458331</v>
      </c>
      <c r="BO172">
        <f t="shared" si="207"/>
        <v>0</v>
      </c>
      <c r="BP172">
        <f t="shared" si="208"/>
        <v>0</v>
      </c>
    </row>
    <row r="173" spans="14:68">
      <c r="N173" s="7">
        <v>55</v>
      </c>
      <c r="O173" s="18">
        <f t="shared" si="158"/>
        <v>354.813389233576</v>
      </c>
      <c r="P173" s="86" t="str">
        <f t="shared" si="159"/>
        <v>163,636363636364</v>
      </c>
      <c r="Q173" s="4" t="str">
        <f t="shared" si="160"/>
        <v>1+13,6193523649405i</v>
      </c>
      <c r="R173" s="4">
        <f t="shared" si="171"/>
        <v>13.6560154818457</v>
      </c>
      <c r="S173" s="4">
        <f t="shared" si="172"/>
        <v>1.49750292116576</v>
      </c>
      <c r="T173" s="4" t="str">
        <f t="shared" si="161"/>
        <v>1+0,0349563377366807i</v>
      </c>
      <c r="U173" s="4">
        <f t="shared" si="173"/>
        <v>1.00061078624406</v>
      </c>
      <c r="V173" s="4">
        <f t="shared" si="174"/>
        <v>0.0349421099195054</v>
      </c>
      <c r="W173" t="str">
        <f t="shared" si="162"/>
        <v>1-0,033440374110345i</v>
      </c>
      <c r="X173" s="4">
        <f t="shared" si="175"/>
        <v>1.00055897308486</v>
      </c>
      <c r="Y173" s="4">
        <f t="shared" si="176"/>
        <v>-0.0334279174715816</v>
      </c>
      <c r="Z173" t="str">
        <f t="shared" si="163"/>
        <v>0,999998972305786+0,00692693463714289i</v>
      </c>
      <c r="AA173" s="4">
        <f t="shared" si="177"/>
        <v>1.00002296325439</v>
      </c>
      <c r="AB173" s="4">
        <f t="shared" si="178"/>
        <v>0.00692683096839841</v>
      </c>
      <c r="AC173" s="67" t="str">
        <f t="shared" si="179"/>
        <v>0,813704812844487-11,9688487241816i</v>
      </c>
      <c r="AD173" s="68">
        <f t="shared" si="180"/>
        <v>21.5810743600164</v>
      </c>
      <c r="AE173" s="31">
        <f t="shared" si="181"/>
        <v>-86.1107185345632</v>
      </c>
      <c r="AF173" s="32" t="str">
        <f t="shared" si="182"/>
        <v>748,315388573934</v>
      </c>
      <c r="AG173" s="32" t="str">
        <f t="shared" si="164"/>
        <v>1+11,0972500751367i</v>
      </c>
      <c r="AH173" s="32">
        <f t="shared" si="183"/>
        <v>11.1422151850573</v>
      </c>
      <c r="AI173" s="32">
        <f t="shared" si="184"/>
        <v>1.48092664233887</v>
      </c>
      <c r="AJ173" s="32" t="str">
        <f t="shared" si="165"/>
        <v>1+0,0349563377366807i</v>
      </c>
      <c r="AK173" s="32">
        <f t="shared" si="185"/>
        <v>1.00061078624406</v>
      </c>
      <c r="AL173" s="32">
        <f t="shared" si="186"/>
        <v>0.0349421099195054</v>
      </c>
      <c r="AM173" s="32" t="str">
        <f t="shared" si="166"/>
        <v>1-0,00595821060983126i</v>
      </c>
      <c r="AN173" s="32">
        <f t="shared" si="187"/>
        <v>1.0000177499793</v>
      </c>
      <c r="AO173" s="32">
        <f t="shared" si="188"/>
        <v>-0.00595814010529727</v>
      </c>
      <c r="AP173" s="30" t="str">
        <f t="shared" si="189"/>
        <v>7,9684819431899-66,7284920739448i</v>
      </c>
      <c r="AQ173" s="32">
        <f t="shared" si="190"/>
        <v>36.5477204696926</v>
      </c>
      <c r="AR173" s="31">
        <f t="shared" si="191"/>
        <v>-83.1901872306086</v>
      </c>
      <c r="AS173" t="str">
        <f t="shared" si="167"/>
        <v>-0,0000504684572142411</v>
      </c>
      <c r="AT173" t="str">
        <f t="shared" si="168"/>
        <v>0,000500936804172967i</v>
      </c>
      <c r="AU173">
        <f t="shared" si="192"/>
        <v>0.000500936804172967</v>
      </c>
      <c r="AV173">
        <f t="shared" si="193"/>
        <v>1.5707963267949</v>
      </c>
      <c r="AW173" t="str">
        <f t="shared" si="169"/>
        <v>1+0,0256470455645281i</v>
      </c>
      <c r="AX173">
        <f t="shared" si="194"/>
        <v>1.00032883140805</v>
      </c>
      <c r="AY173">
        <f t="shared" si="195"/>
        <v>0.0256414244889802</v>
      </c>
      <c r="AZ173" t="str">
        <f t="shared" si="170"/>
        <v>1+1,22614705071265i</v>
      </c>
      <c r="BA173">
        <f t="shared" si="196"/>
        <v>1.58222520204026</v>
      </c>
      <c r="BB173">
        <f t="shared" si="197"/>
        <v>0.886637610450136</v>
      </c>
      <c r="BC173" s="30" t="str">
        <f t="shared" si="198"/>
        <v>-0,120868652926794+0,103848075699275i</v>
      </c>
      <c r="BD173" s="32">
        <f t="shared" si="199"/>
        <v>-15.9527480068042</v>
      </c>
      <c r="BE173" s="31">
        <f t="shared" si="200"/>
        <v>139.331447632435</v>
      </c>
      <c r="BF173" s="30" t="str">
        <f t="shared" si="201"/>
        <v>1,14459050373342+1,53116030137755i</v>
      </c>
      <c r="BG173" s="68">
        <f t="shared" si="202"/>
        <v>5.62832635321228</v>
      </c>
      <c r="BH173" s="31">
        <f t="shared" si="203"/>
        <v>53.2207290978719</v>
      </c>
      <c r="BI173" s="30" t="str">
        <f t="shared" si="156"/>
        <v>5,96648581784865+8,89289446485865i</v>
      </c>
      <c r="BJ173" s="68">
        <f t="shared" si="204"/>
        <v>20.5949724628885</v>
      </c>
      <c r="BK173" s="31">
        <f t="shared" si="157"/>
        <v>56.1412604018265</v>
      </c>
      <c r="BL173" s="32">
        <f t="shared" si="205"/>
        <v>5.62832635321228</v>
      </c>
      <c r="BM173" s="31">
        <f t="shared" si="206"/>
        <v>53.2207290978719</v>
      </c>
      <c r="BO173">
        <f t="shared" si="207"/>
        <v>0</v>
      </c>
      <c r="BP173">
        <f t="shared" si="208"/>
        <v>0</v>
      </c>
    </row>
    <row r="174" spans="14:68">
      <c r="N174" s="7">
        <v>56</v>
      </c>
      <c r="O174" s="18">
        <f t="shared" si="158"/>
        <v>363.078054770102</v>
      </c>
      <c r="P174" s="86" t="str">
        <f t="shared" si="159"/>
        <v>163,636363636364</v>
      </c>
      <c r="Q174" s="4" t="str">
        <f t="shared" si="160"/>
        <v>1+13,9365878344459i</v>
      </c>
      <c r="R174" s="4">
        <f t="shared" si="171"/>
        <v>13.9724185618391</v>
      </c>
      <c r="S174" s="4">
        <f t="shared" si="172"/>
        <v>1.4991655157122</v>
      </c>
      <c r="T174" s="4" t="str">
        <f t="shared" si="161"/>
        <v>1+0,0357705754417446i</v>
      </c>
      <c r="U174" s="4">
        <f t="shared" si="173"/>
        <v>1.00063956251361</v>
      </c>
      <c r="V174" s="4">
        <f t="shared" si="174"/>
        <v>0.0357553305871909</v>
      </c>
      <c r="W174" t="str">
        <f t="shared" si="162"/>
        <v>1-0,0342193004863628i</v>
      </c>
      <c r="X174" s="4">
        <f t="shared" si="175"/>
        <v>1.00058530896959</v>
      </c>
      <c r="Y174" s="4">
        <f t="shared" si="176"/>
        <v>-0.034205953379107</v>
      </c>
      <c r="Z174" t="str">
        <f t="shared" si="163"/>
        <v>0,99999892387205+0,00708828367217514i</v>
      </c>
      <c r="AA174" s="4">
        <f t="shared" si="177"/>
        <v>1.00002404546625</v>
      </c>
      <c r="AB174" s="4">
        <f t="shared" si="178"/>
        <v>0.00708817258925827</v>
      </c>
      <c r="AC174" s="67" t="str">
        <f t="shared" si="179"/>
        <v>0,774394671104613-11,6998517274881i</v>
      </c>
      <c r="AD174" s="68">
        <f t="shared" si="180"/>
        <v>21.3825916404853</v>
      </c>
      <c r="AE174" s="31">
        <f t="shared" si="181"/>
        <v>-86.2132064407903</v>
      </c>
      <c r="AF174" s="32" t="str">
        <f t="shared" si="182"/>
        <v>748,315388573934</v>
      </c>
      <c r="AG174" s="32" t="str">
        <f t="shared" si="164"/>
        <v>1+11,3557382354745i</v>
      </c>
      <c r="AH174" s="32">
        <f t="shared" si="183"/>
        <v>11.3996838058175</v>
      </c>
      <c r="AI174" s="32">
        <f t="shared" si="184"/>
        <v>1.48296169948204</v>
      </c>
      <c r="AJ174" s="32" t="str">
        <f t="shared" si="165"/>
        <v>1+0,0357705754417446i</v>
      </c>
      <c r="AK174" s="32">
        <f t="shared" si="185"/>
        <v>1.00063956251361</v>
      </c>
      <c r="AL174" s="32">
        <f t="shared" si="186"/>
        <v>0.0357553305871909</v>
      </c>
      <c r="AM174" s="32" t="str">
        <f t="shared" si="166"/>
        <v>1-0,00609699516357316i</v>
      </c>
      <c r="AN174" s="32">
        <f t="shared" si="187"/>
        <v>1.00001858650228</v>
      </c>
      <c r="AO174" s="32">
        <f t="shared" si="188"/>
        <v>-0.00609691961667971</v>
      </c>
      <c r="AP174" s="30" t="str">
        <f t="shared" si="189"/>
        <v>7,69998848083948-65,2338568483424i</v>
      </c>
      <c r="AQ174" s="32">
        <f t="shared" si="190"/>
        <v>36.3495522493061</v>
      </c>
      <c r="AR174" s="31">
        <f t="shared" si="191"/>
        <v>-83.2681447841939</v>
      </c>
      <c r="AS174" t="str">
        <f t="shared" si="167"/>
        <v>-0,0000504684572142411</v>
      </c>
      <c r="AT174" t="str">
        <f t="shared" si="168"/>
        <v>0,000512605121285714i</v>
      </c>
      <c r="AU174">
        <f t="shared" si="192"/>
        <v>0.000512605121285714</v>
      </c>
      <c r="AV174">
        <f t="shared" si="193"/>
        <v>1.5707963267949</v>
      </c>
      <c r="AW174" t="str">
        <f t="shared" si="169"/>
        <v>1+0,0262444419988867i</v>
      </c>
      <c r="AX174">
        <f t="shared" si="194"/>
        <v>1.00034432608769</v>
      </c>
      <c r="AY174">
        <f t="shared" si="195"/>
        <v>0.0262384190198861</v>
      </c>
      <c r="AZ174" t="str">
        <f t="shared" si="170"/>
        <v>1+1,25470768449997i</v>
      </c>
      <c r="BA174">
        <f t="shared" si="196"/>
        <v>1.60445983855729</v>
      </c>
      <c r="BB174">
        <f t="shared" si="197"/>
        <v>0.897888318477585</v>
      </c>
      <c r="BC174" s="30" t="str">
        <f t="shared" si="198"/>
        <v>-0,12086490860296+0,101626876014189i</v>
      </c>
      <c r="BD174" s="32">
        <f t="shared" si="199"/>
        <v>-16.0316714883337</v>
      </c>
      <c r="BE174" s="31">
        <f t="shared" si="200"/>
        <v>139.941860451929</v>
      </c>
      <c r="BF174" s="30" t="str">
        <f t="shared" si="201"/>
        <v>1,09542223974815+1,49280082093743i</v>
      </c>
      <c r="BG174" s="68">
        <f t="shared" si="202"/>
        <v>5.3509201521516</v>
      </c>
      <c r="BH174" s="31">
        <f t="shared" si="203"/>
        <v>53.7286540111385</v>
      </c>
      <c r="BI174" s="30" t="str">
        <f t="shared" si="156"/>
        <v>5,69885467787334+8,66700992044644i</v>
      </c>
      <c r="BJ174" s="68">
        <f t="shared" si="204"/>
        <v>20.3178807609724</v>
      </c>
      <c r="BK174" s="31">
        <f t="shared" si="157"/>
        <v>56.673715667735</v>
      </c>
      <c r="BL174" s="32">
        <f t="shared" si="205"/>
        <v>5.3509201521516</v>
      </c>
      <c r="BM174" s="31">
        <f t="shared" si="206"/>
        <v>53.7286540111385</v>
      </c>
      <c r="BO174">
        <f t="shared" si="207"/>
        <v>0</v>
      </c>
      <c r="BP174">
        <f t="shared" si="208"/>
        <v>0</v>
      </c>
    </row>
    <row r="175" spans="14:68">
      <c r="N175" s="7">
        <v>57</v>
      </c>
      <c r="O175" s="18">
        <f t="shared" si="158"/>
        <v>371.535229097173</v>
      </c>
      <c r="P175" s="86" t="str">
        <f t="shared" si="159"/>
        <v>163,636363636364</v>
      </c>
      <c r="Q175" s="4" t="str">
        <f t="shared" si="160"/>
        <v>1+14,2612126672937i</v>
      </c>
      <c r="R175" s="4">
        <f t="shared" si="171"/>
        <v>14.2962298086516</v>
      </c>
      <c r="S175" s="4">
        <f t="shared" si="172"/>
        <v>1.50079064838753</v>
      </c>
      <c r="T175" s="4" t="str">
        <f t="shared" si="161"/>
        <v>1+0,0366037791793872i</v>
      </c>
      <c r="U175" s="4">
        <f t="shared" si="173"/>
        <v>1.00066969408003</v>
      </c>
      <c r="V175" s="4">
        <f t="shared" si="174"/>
        <v>0.0365874446138073</v>
      </c>
      <c r="W175" t="str">
        <f t="shared" si="162"/>
        <v>1-0,0350163703884444i</v>
      </c>
      <c r="X175" s="4">
        <f t="shared" si="175"/>
        <v>1.00061288528341</v>
      </c>
      <c r="Y175" s="4">
        <f t="shared" si="176"/>
        <v>-0.0350020691784219</v>
      </c>
      <c r="Z175" t="str">
        <f t="shared" si="163"/>
        <v>0,999998873155702+0,00725339100903491i</v>
      </c>
      <c r="AA175" s="4">
        <f t="shared" si="177"/>
        <v>1.00002517867992</v>
      </c>
      <c r="AB175" s="4">
        <f t="shared" si="178"/>
        <v>0.00725327198170677</v>
      </c>
      <c r="AC175" s="67" t="str">
        <f t="shared" si="179"/>
        <v>0,736835648379289-11,4368054483133i</v>
      </c>
      <c r="AD175" s="68">
        <f t="shared" si="180"/>
        <v>21.1840840528769</v>
      </c>
      <c r="AE175" s="31">
        <f t="shared" si="181"/>
        <v>-86.3137166361287</v>
      </c>
      <c r="AF175" s="32" t="str">
        <f t="shared" si="182"/>
        <v>748,315388573934</v>
      </c>
      <c r="AG175" s="32" t="str">
        <f t="shared" si="164"/>
        <v>1+11,6202473585356i</v>
      </c>
      <c r="AH175" s="32">
        <f t="shared" si="183"/>
        <v>11.663196331776</v>
      </c>
      <c r="AI175" s="32">
        <f t="shared" si="184"/>
        <v>1.48495113812921</v>
      </c>
      <c r="AJ175" s="32" t="str">
        <f t="shared" si="165"/>
        <v>1+0,0366037791793872i</v>
      </c>
      <c r="AK175" s="32">
        <f t="shared" si="185"/>
        <v>1.00066969408003</v>
      </c>
      <c r="AL175" s="32">
        <f t="shared" si="186"/>
        <v>0.0365874446138073</v>
      </c>
      <c r="AM175" s="32" t="str">
        <f t="shared" si="166"/>
        <v>1-0,00623901242485407i</v>
      </c>
      <c r="AN175" s="32">
        <f t="shared" si="187"/>
        <v>1.00001946244863</v>
      </c>
      <c r="AO175" s="32">
        <f t="shared" si="188"/>
        <v>-0.00623893147498438</v>
      </c>
      <c r="AP175" s="30" t="str">
        <f t="shared" si="189"/>
        <v>7,44339735886492-63,7716962650056i</v>
      </c>
      <c r="AQ175" s="32">
        <f t="shared" si="190"/>
        <v>36.1513257872553</v>
      </c>
      <c r="AR175" s="31">
        <f t="shared" si="191"/>
        <v>-83.3425912805997</v>
      </c>
      <c r="AS175" t="str">
        <f t="shared" si="167"/>
        <v>-0,0000504684572142411</v>
      </c>
      <c r="AT175" t="str">
        <f t="shared" si="168"/>
        <v>0,000524545228418897i</v>
      </c>
      <c r="AU175">
        <f t="shared" si="192"/>
        <v>0.000524545228418897</v>
      </c>
      <c r="AV175">
        <f t="shared" si="193"/>
        <v>1.5707963267949</v>
      </c>
      <c r="AW175" t="str">
        <f t="shared" si="169"/>
        <v>1+0,0268557535837795i</v>
      </c>
      <c r="AX175">
        <f t="shared" si="194"/>
        <v>1.00036055075185</v>
      </c>
      <c r="AY175">
        <f t="shared" si="195"/>
        <v>0.0268492999711267</v>
      </c>
      <c r="AZ175" t="str">
        <f t="shared" si="170"/>
        <v>1+1,28393358090963i</v>
      </c>
      <c r="BA175">
        <f t="shared" si="196"/>
        <v>1.62741679977424</v>
      </c>
      <c r="BB175">
        <f t="shared" si="197"/>
        <v>0.909081389603956</v>
      </c>
      <c r="BC175" s="30" t="str">
        <f t="shared" si="198"/>
        <v>-0,120860988063215+0,0994595509857523i</v>
      </c>
      <c r="BD175" s="32">
        <f t="shared" si="199"/>
        <v>-16.1084134802154</v>
      </c>
      <c r="BE175" s="31">
        <f t="shared" si="200"/>
        <v>140.548175286968</v>
      </c>
      <c r="BF175" s="30" t="str">
        <f t="shared" si="201"/>
        <v>1,04844485009733+1,45554894950801i</v>
      </c>
      <c r="BG175" s="68">
        <f t="shared" si="202"/>
        <v>5.07567057266152</v>
      </c>
      <c r="BH175" s="31">
        <f t="shared" si="203"/>
        <v>54.2344586508397</v>
      </c>
      <c r="BI175" s="30" t="str">
        <f t="shared" si="156"/>
        <v>5,44308791677769+8,44782718017705i</v>
      </c>
      <c r="BJ175" s="68">
        <f t="shared" si="204"/>
        <v>20.0429123070399</v>
      </c>
      <c r="BK175" s="31">
        <f t="shared" si="157"/>
        <v>57.2055840063687</v>
      </c>
      <c r="BL175" s="32">
        <f t="shared" si="205"/>
        <v>5.07567057266152</v>
      </c>
      <c r="BM175" s="31">
        <f t="shared" si="206"/>
        <v>54.2344586508397</v>
      </c>
      <c r="BO175">
        <f t="shared" si="207"/>
        <v>0</v>
      </c>
      <c r="BP175">
        <f t="shared" si="208"/>
        <v>0</v>
      </c>
    </row>
    <row r="176" spans="14:68">
      <c r="N176" s="7">
        <v>58</v>
      </c>
      <c r="O176" s="18">
        <f t="shared" si="158"/>
        <v>380.189396320562</v>
      </c>
      <c r="P176" s="86" t="str">
        <f t="shared" si="159"/>
        <v>163,636363636364</v>
      </c>
      <c r="Q176" s="4" t="str">
        <f t="shared" si="160"/>
        <v>1+14,5933989838672i</v>
      </c>
      <c r="R176" s="4">
        <f t="shared" si="171"/>
        <v>14.6276209242083</v>
      </c>
      <c r="S176" s="4">
        <f t="shared" si="172"/>
        <v>1.5023791465028</v>
      </c>
      <c r="T176" s="4" t="str">
        <f t="shared" si="161"/>
        <v>1+0,0374563907252591i</v>
      </c>
      <c r="U176" s="4">
        <f t="shared" si="173"/>
        <v>1.000701244731</v>
      </c>
      <c r="V176" s="4">
        <f t="shared" si="174"/>
        <v>0.0374388885852565</v>
      </c>
      <c r="W176" t="str">
        <f t="shared" si="162"/>
        <v>1-0,0358320064336025i</v>
      </c>
      <c r="X176" s="4">
        <f t="shared" si="175"/>
        <v>1.00064176041431</v>
      </c>
      <c r="Y176" s="4">
        <f t="shared" si="176"/>
        <v>-0.035816682941727</v>
      </c>
      <c r="Z176" t="str">
        <f t="shared" si="163"/>
        <v>0,999998820049167+0,00742234418981765i</v>
      </c>
      <c r="AA176" s="4">
        <f t="shared" si="177"/>
        <v>1.00002636529893</v>
      </c>
      <c r="AB176" s="4">
        <f t="shared" si="178"/>
        <v>0.00742221664991921</v>
      </c>
      <c r="AC176" s="67" t="str">
        <f t="shared" si="179"/>
        <v>0,700950459923153-11,1795871188987i</v>
      </c>
      <c r="AD176" s="68">
        <f t="shared" si="180"/>
        <v>20.9855547269788</v>
      </c>
      <c r="AE176" s="31">
        <f t="shared" si="181"/>
        <v>-86.4123004748729</v>
      </c>
      <c r="AF176" s="32" t="str">
        <f t="shared" si="182"/>
        <v>748,315388573934</v>
      </c>
      <c r="AG176" s="32" t="str">
        <f t="shared" si="164"/>
        <v>1+11,8909176905585i</v>
      </c>
      <c r="AH176" s="32">
        <f t="shared" si="183"/>
        <v>11.9328925044868</v>
      </c>
      <c r="AI176" s="32">
        <f t="shared" si="184"/>
        <v>1.48689595008069</v>
      </c>
      <c r="AJ176" s="32" t="str">
        <f t="shared" si="165"/>
        <v>1+0,0374563907252591i</v>
      </c>
      <c r="AK176" s="32">
        <f t="shared" si="185"/>
        <v>1.000701244731</v>
      </c>
      <c r="AL176" s="32">
        <f t="shared" si="186"/>
        <v>0.0374388885852565</v>
      </c>
      <c r="AM176" s="32" t="str">
        <f t="shared" si="166"/>
        <v>1-0,00638433769310572i</v>
      </c>
      <c r="AN176" s="32">
        <f t="shared" si="187"/>
        <v>1.00002037967622</v>
      </c>
      <c r="AO176" s="32">
        <f t="shared" si="188"/>
        <v>-0.00638425095385306</v>
      </c>
      <c r="AP176" s="30" t="str">
        <f t="shared" si="189"/>
        <v>7,19818871250185-62,3413740629211i</v>
      </c>
      <c r="AQ176" s="32">
        <f t="shared" si="190"/>
        <v>35.9530447715656</v>
      </c>
      <c r="AR176" s="31">
        <f t="shared" si="191"/>
        <v>-83.4135628441306</v>
      </c>
      <c r="AS176" t="str">
        <f t="shared" si="167"/>
        <v>-0,0000504684572142411</v>
      </c>
      <c r="AT176" t="str">
        <f t="shared" si="168"/>
        <v>0,000536763456375365i</v>
      </c>
      <c r="AU176">
        <f t="shared" si="192"/>
        <v>0.000536763456375365</v>
      </c>
      <c r="AV176">
        <f t="shared" si="193"/>
        <v>1.5707963267949</v>
      </c>
      <c r="AW176" t="str">
        <f t="shared" si="169"/>
        <v>1+0,0274813044447003i</v>
      </c>
      <c r="AX176">
        <f t="shared" si="194"/>
        <v>1.00037753977885</v>
      </c>
      <c r="AY176">
        <f t="shared" si="195"/>
        <v>0.0274743894150971</v>
      </c>
      <c r="AZ176" t="str">
        <f t="shared" si="170"/>
        <v>1+1,31384023589876i</v>
      </c>
      <c r="BA176">
        <f t="shared" si="196"/>
        <v>1.65111361373665</v>
      </c>
      <c r="BB176">
        <f t="shared" si="197"/>
        <v>0.920211540550574</v>
      </c>
      <c r="BC176" s="30" t="str">
        <f t="shared" si="198"/>
        <v>-0,120856883026723+0,0973449508083709i</v>
      </c>
      <c r="BD176" s="32">
        <f t="shared" si="199"/>
        <v>-16.1829977233315</v>
      </c>
      <c r="BE176" s="31">
        <f t="shared" si="200"/>
        <v>141.150070974596</v>
      </c>
      <c r="BF176" s="30" t="str">
        <f t="shared" si="201"/>
        <v>1,00356167040463+1,41936404075612i</v>
      </c>
      <c r="BG176" s="68">
        <f t="shared" si="202"/>
        <v>4.8025570036472</v>
      </c>
      <c r="BH176" s="31">
        <f t="shared" si="203"/>
        <v>54.7377704997226</v>
      </c>
      <c r="BI176" s="30" t="str">
        <f t="shared" si="156"/>
        <v>5,19866734025019+8,2350914789755i</v>
      </c>
      <c r="BJ176" s="68">
        <f t="shared" si="204"/>
        <v>19.7700470482341</v>
      </c>
      <c r="BK176" s="31">
        <f t="shared" si="157"/>
        <v>57.736508130465</v>
      </c>
      <c r="BL176" s="32">
        <f t="shared" si="205"/>
        <v>4.8025570036472</v>
      </c>
      <c r="BM176" s="31">
        <f t="shared" si="206"/>
        <v>54.7377704997226</v>
      </c>
      <c r="BO176">
        <f t="shared" si="207"/>
        <v>0</v>
      </c>
      <c r="BP176">
        <f t="shared" si="208"/>
        <v>0</v>
      </c>
    </row>
    <row r="177" spans="14:68">
      <c r="N177" s="7">
        <v>59</v>
      </c>
      <c r="O177" s="18">
        <f t="shared" si="158"/>
        <v>389.045144994281</v>
      </c>
      <c r="P177" s="86" t="str">
        <f t="shared" si="159"/>
        <v>163,636363636364</v>
      </c>
      <c r="Q177" s="4" t="str">
        <f t="shared" si="160"/>
        <v>1+14,9333229137484i</v>
      </c>
      <c r="R177" s="4">
        <f t="shared" si="171"/>
        <v>14.9667676285256</v>
      </c>
      <c r="S177" s="4">
        <f t="shared" si="172"/>
        <v>1.50393182021633</v>
      </c>
      <c r="T177" s="4" t="str">
        <f t="shared" si="161"/>
        <v>1+0,0383288621452875i</v>
      </c>
      <c r="U177" s="4">
        <f t="shared" si="173"/>
        <v>1.0007342812522</v>
      </c>
      <c r="V177" s="4">
        <f t="shared" si="174"/>
        <v>0.0383101090075021</v>
      </c>
      <c r="W177" t="str">
        <f t="shared" si="162"/>
        <v>1-0,0366666410828643i</v>
      </c>
      <c r="X177" s="4">
        <f t="shared" si="175"/>
        <v>1.00067199549518</v>
      </c>
      <c r="Y177" s="4">
        <f t="shared" si="176"/>
        <v>-0.0366502222609591</v>
      </c>
      <c r="Z177" t="str">
        <f t="shared" si="163"/>
        <v>0,999998764439797+0,00759523279573618i</v>
      </c>
      <c r="AA177" s="4">
        <f t="shared" si="177"/>
        <v>1.00002760784007</v>
      </c>
      <c r="AB177" s="4">
        <f t="shared" si="178"/>
        <v>0.00759509613447648</v>
      </c>
      <c r="AC177" s="67" t="str">
        <f t="shared" si="179"/>
        <v>0,666665163704442-10,9280759642948i</v>
      </c>
      <c r="AD177" s="68">
        <f t="shared" si="180"/>
        <v>20.7870067488659</v>
      </c>
      <c r="AE177" s="31">
        <f t="shared" si="181"/>
        <v>-86.5090084222786</v>
      </c>
      <c r="AF177" s="32" t="str">
        <f t="shared" si="182"/>
        <v>748,315388573934</v>
      </c>
      <c r="AG177" s="32" t="str">
        <f t="shared" si="164"/>
        <v>1+12,1678927445357i</v>
      </c>
      <c r="AH177" s="32">
        <f t="shared" si="183"/>
        <v>12.2089153425898</v>
      </c>
      <c r="AI177" s="32">
        <f t="shared" si="184"/>
        <v>1.48879710762203</v>
      </c>
      <c r="AJ177" s="32" t="str">
        <f t="shared" si="165"/>
        <v>1+0,0383288621452875i</v>
      </c>
      <c r="AK177" s="32">
        <f t="shared" si="185"/>
        <v>1.0007342812522</v>
      </c>
      <c r="AL177" s="32">
        <f t="shared" si="186"/>
        <v>0.0383101090075021</v>
      </c>
      <c r="AM177" s="32" t="str">
        <f t="shared" si="166"/>
        <v>1-0,00653304802170896i</v>
      </c>
      <c r="AN177" s="32">
        <f t="shared" si="187"/>
        <v>1.00002134013053</v>
      </c>
      <c r="AO177" s="32">
        <f t="shared" si="188"/>
        <v>-0.00653295507903233</v>
      </c>
      <c r="AP177" s="30" t="str">
        <f t="shared" si="189"/>
        <v>6,96386470405565-60,9422618054967i</v>
      </c>
      <c r="AQ177" s="32">
        <f t="shared" si="190"/>
        <v>35.754712780588</v>
      </c>
      <c r="AR177" s="31">
        <f t="shared" si="191"/>
        <v>-83.4810940129876</v>
      </c>
      <c r="AS177" t="str">
        <f t="shared" si="167"/>
        <v>-0,0000504684572142411</v>
      </c>
      <c r="AT177" t="str">
        <f t="shared" si="168"/>
        <v>0,000549266283421307i</v>
      </c>
      <c r="AU177">
        <f t="shared" si="192"/>
        <v>0.000549266283421307</v>
      </c>
      <c r="AV177">
        <f t="shared" si="193"/>
        <v>1.5707963267949</v>
      </c>
      <c r="AW177" t="str">
        <f t="shared" si="169"/>
        <v>1+0,0281214262569958i</v>
      </c>
      <c r="AX177">
        <f t="shared" si="194"/>
        <v>1.00039532916479</v>
      </c>
      <c r="AY177">
        <f t="shared" si="195"/>
        <v>0.0281140168274123</v>
      </c>
      <c r="AZ177" t="str">
        <f t="shared" si="170"/>
        <v>1+1,34444350637169i</v>
      </c>
      <c r="BA177">
        <f t="shared" si="196"/>
        <v>1.67556806541095</v>
      </c>
      <c r="BB177">
        <f t="shared" si="197"/>
        <v>0.931273642719585</v>
      </c>
      <c r="BC177" s="30" t="str">
        <f t="shared" si="198"/>
        <v>-0,120852584824687+0,0952819535846979i</v>
      </c>
      <c r="BD177" s="32">
        <f t="shared" si="199"/>
        <v>-16.2554498540607</v>
      </c>
      <c r="BE177" s="31">
        <f t="shared" si="200"/>
        <v>141.747234790236</v>
      </c>
      <c r="BF177" s="30" t="str">
        <f t="shared" si="201"/>
        <v>0,960680218553735+1,38420738663018i</v>
      </c>
      <c r="BG177" s="68">
        <f t="shared" si="202"/>
        <v>4.53155689480519</v>
      </c>
      <c r="BH177" s="31">
        <f t="shared" si="203"/>
        <v>55.2382263679572</v>
      </c>
      <c r="BI177" s="30" t="str">
        <f t="shared" si="156"/>
        <v>4,96509671084331+8,02856049775902i</v>
      </c>
      <c r="BJ177" s="68">
        <f t="shared" si="204"/>
        <v>19.4992629265273</v>
      </c>
      <c r="BK177" s="31">
        <f t="shared" si="157"/>
        <v>58.2661407772483</v>
      </c>
      <c r="BL177" s="32">
        <f t="shared" si="205"/>
        <v>4.53155689480519</v>
      </c>
      <c r="BM177" s="31">
        <f t="shared" si="206"/>
        <v>55.2382263679572</v>
      </c>
      <c r="BO177">
        <f t="shared" si="207"/>
        <v>0</v>
      </c>
      <c r="BP177">
        <f t="shared" si="208"/>
        <v>0</v>
      </c>
    </row>
    <row r="178" spans="14:68">
      <c r="N178" s="7">
        <v>60</v>
      </c>
      <c r="O178" s="18">
        <f t="shared" si="158"/>
        <v>398.107170553498</v>
      </c>
      <c r="P178" s="86" t="str">
        <f t="shared" si="159"/>
        <v>163,636363636364</v>
      </c>
      <c r="Q178" s="4" t="str">
        <f t="shared" si="160"/>
        <v>1+15,2811646891044i</v>
      </c>
      <c r="R178" s="4">
        <f t="shared" si="171"/>
        <v>15.3138497529371</v>
      </c>
      <c r="S178" s="4">
        <f t="shared" si="172"/>
        <v>1.505449462814</v>
      </c>
      <c r="T178" s="4" t="str">
        <f t="shared" si="161"/>
        <v>1+0,0392216560353678i</v>
      </c>
      <c r="U178" s="4">
        <f t="shared" si="173"/>
        <v>1.0007688735678</v>
      </c>
      <c r="V178" s="4">
        <f t="shared" si="174"/>
        <v>0.0392015625199</v>
      </c>
      <c r="W178" t="str">
        <f t="shared" si="162"/>
        <v>1-0,0375207168705687i</v>
      </c>
      <c r="X178" s="4">
        <f t="shared" si="175"/>
        <v>1.00070365453239</v>
      </c>
      <c r="Y178" s="4">
        <f t="shared" si="176"/>
        <v>-0.0375031244539895</v>
      </c>
      <c r="Z178" t="str">
        <f t="shared" si="163"/>
        <v>0,999998706209639+0,0077721484946178i</v>
      </c>
      <c r="AA178" s="4">
        <f t="shared" si="177"/>
        <v>1.00002890893872</v>
      </c>
      <c r="AB178" s="4">
        <f t="shared" si="178"/>
        <v>0.00777200205966826</v>
      </c>
      <c r="AC178" s="67" t="str">
        <f t="shared" si="179"/>
        <v>0,633909021589316-10,6821532096627i</v>
      </c>
      <c r="AD178" s="68">
        <f t="shared" si="180"/>
        <v>20.5884431671677</v>
      </c>
      <c r="AE178" s="31">
        <f t="shared" si="181"/>
        <v>-86.6038900729244</v>
      </c>
      <c r="AF178" s="32" t="str">
        <f t="shared" si="182"/>
        <v>748,315388573934</v>
      </c>
      <c r="AG178" s="32" t="str">
        <f t="shared" si="164"/>
        <v>1+12,4513193763073i</v>
      </c>
      <c r="AH178" s="32">
        <f t="shared" si="183"/>
        <v>12.491411217745</v>
      </c>
      <c r="AI178" s="32">
        <f t="shared" si="184"/>
        <v>1.49065556376919</v>
      </c>
      <c r="AJ178" s="32" t="str">
        <f t="shared" si="165"/>
        <v>1+0,0392216560353678i</v>
      </c>
      <c r="AK178" s="32">
        <f t="shared" si="185"/>
        <v>1.0007688735678</v>
      </c>
      <c r="AL178" s="32">
        <f t="shared" si="186"/>
        <v>0.0392015625199</v>
      </c>
      <c r="AM178" s="32" t="str">
        <f t="shared" si="166"/>
        <v>1-0,00668522225884843i</v>
      </c>
      <c r="AN178" s="32">
        <f t="shared" si="187"/>
        <v>1.00002234584866</v>
      </c>
      <c r="AO178" s="32">
        <f t="shared" si="188"/>
        <v>-0.00668512266909633</v>
      </c>
      <c r="AP178" s="30" t="str">
        <f t="shared" si="189"/>
        <v>6,73994864931257-59,5737391282156i</v>
      </c>
      <c r="AQ178" s="32">
        <f t="shared" si="190"/>
        <v>35.5563332900254</v>
      </c>
      <c r="AR178" s="31">
        <f t="shared" si="191"/>
        <v>-83.5452177434267</v>
      </c>
      <c r="AS178" t="str">
        <f t="shared" si="167"/>
        <v>-0,0000504684572142411</v>
      </c>
      <c r="AT178" t="str">
        <f t="shared" si="168"/>
        <v>0,000562060338721118i</v>
      </c>
      <c r="AU178">
        <f t="shared" si="192"/>
        <v>0.000562060338721118</v>
      </c>
      <c r="AV178">
        <f t="shared" si="193"/>
        <v>1.5707963267949</v>
      </c>
      <c r="AW178" t="str">
        <f t="shared" si="169"/>
        <v>1+0,0287764584217238i</v>
      </c>
      <c r="AX178">
        <f t="shared" si="194"/>
        <v>1.00041395659962</v>
      </c>
      <c r="AY178">
        <f t="shared" si="195"/>
        <v>0.0287685192523027</v>
      </c>
      <c r="AZ178" t="str">
        <f t="shared" si="170"/>
        <v>1+1,37575961858752i</v>
      </c>
      <c r="BA178">
        <f t="shared" si="196"/>
        <v>1.70079820323755</v>
      </c>
      <c r="BB178">
        <f t="shared" si="197"/>
        <v>0.942262732425172</v>
      </c>
      <c r="BC178" s="30" t="str">
        <f t="shared" si="198"/>
        <v>-0,120848084382297+0,0932694647274268i</v>
      </c>
      <c r="BD178" s="32">
        <f t="shared" si="199"/>
        <v>-16.3257973081612</v>
      </c>
      <c r="BE178" s="31">
        <f t="shared" si="200"/>
        <v>142.339363024429</v>
      </c>
      <c r="BF178" s="30" t="str">
        <f t="shared" si="201"/>
        <v>0,919712021069879+1,35004210759546i</v>
      </c>
      <c r="BG178" s="68">
        <f t="shared" si="202"/>
        <v>4.26264585900639</v>
      </c>
      <c r="BH178" s="31">
        <f t="shared" si="203"/>
        <v>55.7354729515049</v>
      </c>
      <c r="BI178" s="30" t="str">
        <f t="shared" ref="BI178:BI241" si="209">IMPRODUCT(AP178,BC178)</f>
        <v>4,74190087719556+7,82800365594727i</v>
      </c>
      <c r="BJ178" s="68">
        <f t="shared" si="204"/>
        <v>19.2305359818642</v>
      </c>
      <c r="BK178" s="31">
        <f t="shared" ref="BK178:BK241" si="210">(180/PI())*IMARGUMENT(BI178)</f>
        <v>58.7941452810027</v>
      </c>
      <c r="BL178" s="32">
        <f t="shared" si="205"/>
        <v>4.26264585900639</v>
      </c>
      <c r="BM178" s="31">
        <f t="shared" si="206"/>
        <v>55.7354729515049</v>
      </c>
      <c r="BO178">
        <f t="shared" si="207"/>
        <v>0</v>
      </c>
      <c r="BP178">
        <f t="shared" si="208"/>
        <v>0</v>
      </c>
    </row>
    <row r="179" spans="14:68">
      <c r="N179" s="7">
        <v>61</v>
      </c>
      <c r="O179" s="18">
        <f t="shared" si="158"/>
        <v>407.380277804113</v>
      </c>
      <c r="P179" s="86" t="str">
        <f t="shared" si="159"/>
        <v>163,636363636364</v>
      </c>
      <c r="Q179" s="4" t="str">
        <f t="shared" si="160"/>
        <v>1+15,6371087402486i</v>
      </c>
      <c r="R179" s="4">
        <f t="shared" si="171"/>
        <v>15.6690513354944</v>
      </c>
      <c r="S179" s="4">
        <f t="shared" si="172"/>
        <v>1.50693285099032</v>
      </c>
      <c r="T179" s="4" t="str">
        <f t="shared" si="161"/>
        <v>1+0,0401352457666379i</v>
      </c>
      <c r="U179" s="4">
        <f t="shared" si="173"/>
        <v>1.00080509488749</v>
      </c>
      <c r="V179" s="4">
        <f t="shared" si="174"/>
        <v>0.0401137161122397</v>
      </c>
      <c r="W179" t="str">
        <f t="shared" si="162"/>
        <v>1-0,0383946866390031i</v>
      </c>
      <c r="X179" s="4">
        <f t="shared" si="175"/>
        <v>1.00073680454059</v>
      </c>
      <c r="Y179" s="4">
        <f t="shared" si="176"/>
        <v>-0.0383758367745207</v>
      </c>
      <c r="Z179" t="str">
        <f t="shared" si="163"/>
        <v>0,999998645235178+0,00795318508950779i</v>
      </c>
      <c r="AA179" s="4">
        <f t="shared" si="177"/>
        <v>1.00003027135445</v>
      </c>
      <c r="AB179" s="4">
        <f t="shared" si="178"/>
        <v>0.00795302818188878</v>
      </c>
      <c r="AC179" s="67" t="str">
        <f t="shared" si="179"/>
        <v>0,602614365768115-10,4417020840767i</v>
      </c>
      <c r="AD179" s="68">
        <f t="shared" si="180"/>
        <v>20.3898669992723</v>
      </c>
      <c r="AE179" s="31">
        <f t="shared" si="181"/>
        <v>-86.6969941691782</v>
      </c>
      <c r="AF179" s="32" t="str">
        <f t="shared" si="182"/>
        <v>748,315388573934</v>
      </c>
      <c r="AG179" s="32" t="str">
        <f t="shared" si="164"/>
        <v>1+12,7413478624247i</v>
      </c>
      <c r="AH179" s="32">
        <f t="shared" si="183"/>
        <v>12.7805299323351</v>
      </c>
      <c r="AI179" s="32">
        <f t="shared" si="184"/>
        <v>1.49247225252083</v>
      </c>
      <c r="AJ179" s="32" t="str">
        <f t="shared" si="165"/>
        <v>1+0,0401352457666379i</v>
      </c>
      <c r="AK179" s="32">
        <f t="shared" si="185"/>
        <v>1.00080509488749</v>
      </c>
      <c r="AL179" s="32">
        <f t="shared" si="186"/>
        <v>0.0401137161122397</v>
      </c>
      <c r="AM179" s="32" t="str">
        <f t="shared" si="166"/>
        <v>1-0,00684094108931889i</v>
      </c>
      <c r="AN179" s="32">
        <f t="shared" si="187"/>
        <v>1.00002339896374</v>
      </c>
      <c r="AO179" s="32">
        <f t="shared" si="188"/>
        <v>-0.00684083437711177</v>
      </c>
      <c r="AP179" s="30" t="str">
        <f t="shared" si="189"/>
        <v>6,52598417326407-58,2351939543287i</v>
      </c>
      <c r="AQ179" s="32">
        <f t="shared" si="190"/>
        <v>35.3579096797888</v>
      </c>
      <c r="AR179" s="31">
        <f t="shared" si="191"/>
        <v>-83.6059654141658</v>
      </c>
      <c r="AS179" t="str">
        <f t="shared" si="167"/>
        <v>-0,0000504684572142411</v>
      </c>
      <c r="AT179" t="str">
        <f t="shared" si="168"/>
        <v>0,000575152405852267i</v>
      </c>
      <c r="AU179">
        <f t="shared" si="192"/>
        <v>0.000575152405852267</v>
      </c>
      <c r="AV179">
        <f t="shared" si="193"/>
        <v>1.5707963267949</v>
      </c>
      <c r="AW179" t="str">
        <f t="shared" si="169"/>
        <v>1+0,0294467482456084i</v>
      </c>
      <c r="AX179">
        <f t="shared" si="194"/>
        <v>1.00043346154666</v>
      </c>
      <c r="AY179">
        <f t="shared" si="195"/>
        <v>0.0294382414713621</v>
      </c>
      <c r="AZ179" t="str">
        <f t="shared" si="170"/>
        <v>1+1,40780517676345i</v>
      </c>
      <c r="BA179">
        <f t="shared" si="196"/>
        <v>1.72682234631185</v>
      </c>
      <c r="BB179">
        <f t="shared" si="197"/>
        <v>0.953174020192787</v>
      </c>
      <c r="BC179" s="30" t="str">
        <f t="shared" si="198"/>
        <v>-0,120843372199829+0,0913064163753294i</v>
      </c>
      <c r="BD179" s="32">
        <f t="shared" si="199"/>
        <v>-16.3940692198262</v>
      </c>
      <c r="BE179" s="31">
        <f t="shared" si="200"/>
        <v>142.926161505968</v>
      </c>
      <c r="BF179" s="30" t="str">
        <f t="shared" si="201"/>
        <v>0,880572446060372+1,31683304954039i</v>
      </c>
      <c r="BG179" s="68">
        <f t="shared" si="202"/>
        <v>3.99579777944611</v>
      </c>
      <c r="BH179" s="31">
        <f t="shared" si="203"/>
        <v>56.22916733679</v>
      </c>
      <c r="BI179" s="30" t="str">
        <f t="shared" si="209"/>
        <v>4,52862493247206+7,63320144633503i</v>
      </c>
      <c r="BJ179" s="68">
        <f t="shared" si="204"/>
        <v>18.9638404599626</v>
      </c>
      <c r="BK179" s="31">
        <f t="shared" si="210"/>
        <v>59.3201960918023</v>
      </c>
      <c r="BL179" s="32">
        <f t="shared" si="205"/>
        <v>3.99579777944611</v>
      </c>
      <c r="BM179" s="31">
        <f t="shared" si="206"/>
        <v>56.22916733679</v>
      </c>
      <c r="BO179">
        <f t="shared" si="207"/>
        <v>0</v>
      </c>
      <c r="BP179">
        <f t="shared" si="208"/>
        <v>0</v>
      </c>
    </row>
    <row r="180" spans="14:68">
      <c r="N180" s="7">
        <v>62</v>
      </c>
      <c r="O180" s="18">
        <f t="shared" si="158"/>
        <v>416.869383470336</v>
      </c>
      <c r="P180" s="86" t="str">
        <f t="shared" si="159"/>
        <v>163,636363636364</v>
      </c>
      <c r="Q180" s="4" t="str">
        <f t="shared" si="160"/>
        <v>1+16,0013437934285i</v>
      </c>
      <c r="R180" s="4">
        <f t="shared" si="171"/>
        <v>16.0325607185968</v>
      </c>
      <c r="S180" s="4">
        <f t="shared" si="172"/>
        <v>1.50838274512974</v>
      </c>
      <c r="T180" s="4" t="str">
        <f t="shared" si="161"/>
        <v>1+0,0410701157364665i</v>
      </c>
      <c r="U180" s="4">
        <f t="shared" si="173"/>
        <v>1.00084302186037</v>
      </c>
      <c r="V180" s="4">
        <f t="shared" si="174"/>
        <v>0.0410470473454965</v>
      </c>
      <c r="W180" t="str">
        <f t="shared" si="162"/>
        <v>1-0,0392890137785075i</v>
      </c>
      <c r="X180" s="4">
        <f t="shared" si="175"/>
        <v>1.00077151568362</v>
      </c>
      <c r="Y180" s="4">
        <f t="shared" si="176"/>
        <v>-0.0392688166256938</v>
      </c>
      <c r="Z180" t="str">
        <f t="shared" si="163"/>
        <v>0,999998581387079+0,00813843856840512i</v>
      </c>
      <c r="AA180" s="4">
        <f t="shared" si="177"/>
        <v>1.00003169797687</v>
      </c>
      <c r="AB180" s="4">
        <f t="shared" si="178"/>
        <v>0.00813827043914989</v>
      </c>
      <c r="AC180" s="67" t="str">
        <f t="shared" si="179"/>
        <v>0,572716470272914-10,2066078211137i</v>
      </c>
      <c r="AD180" s="68">
        <f t="shared" si="180"/>
        <v>20.1912812374799</v>
      </c>
      <c r="AE180" s="31">
        <f t="shared" si="181"/>
        <v>-86.7883686197456</v>
      </c>
      <c r="AF180" s="32" t="str">
        <f t="shared" si="182"/>
        <v>748,315388573934</v>
      </c>
      <c r="AG180" s="32" t="str">
        <f t="shared" si="164"/>
        <v>1+13,0381319798306i</v>
      </c>
      <c r="AH180" s="32">
        <f t="shared" si="183"/>
        <v>13.0764247989839</v>
      </c>
      <c r="AI180" s="32">
        <f t="shared" si="184"/>
        <v>1.49424808911682</v>
      </c>
      <c r="AJ180" s="32" t="str">
        <f t="shared" si="165"/>
        <v>1+0,0410701157364665i</v>
      </c>
      <c r="AK180" s="32">
        <f t="shared" si="185"/>
        <v>1.00084302186037</v>
      </c>
      <c r="AL180" s="32">
        <f t="shared" si="186"/>
        <v>0.0410470473454965</v>
      </c>
      <c r="AM180" s="32" t="str">
        <f t="shared" si="166"/>
        <v>1-0,00700028707730551i</v>
      </c>
      <c r="AN180" s="32">
        <f t="shared" si="187"/>
        <v>1.00002450170942</v>
      </c>
      <c r="AO180" s="32">
        <f t="shared" si="188"/>
        <v>-0.00700017273326678</v>
      </c>
      <c r="AP180" s="30" t="str">
        <f t="shared" si="189"/>
        <v>6,32153439465531-56,926022680827i</v>
      </c>
      <c r="AQ180" s="32">
        <f t="shared" si="190"/>
        <v>35.1594452406879</v>
      </c>
      <c r="AR180" s="31">
        <f t="shared" si="191"/>
        <v>-83.6633668309901</v>
      </c>
      <c r="AS180" t="str">
        <f t="shared" si="167"/>
        <v>-0,0000504684572142411</v>
      </c>
      <c r="AT180" t="str">
        <f t="shared" si="168"/>
        <v>0,000588549426402041i</v>
      </c>
      <c r="AU180">
        <f t="shared" si="192"/>
        <v>0.000588549426402041</v>
      </c>
      <c r="AV180">
        <f t="shared" si="193"/>
        <v>1.5707963267949</v>
      </c>
      <c r="AW180" t="str">
        <f t="shared" si="169"/>
        <v>1+0,0301326511251867i</v>
      </c>
      <c r="AX180">
        <f t="shared" si="194"/>
        <v>1.00045388532597</v>
      </c>
      <c r="AY180">
        <f t="shared" si="195"/>
        <v>0.0301235361756882</v>
      </c>
      <c r="AZ180" t="str">
        <f t="shared" si="170"/>
        <v>1+1,4405971718786i</v>
      </c>
      <c r="BA180">
        <f t="shared" si="196"/>
        <v>1.75365909219113</v>
      </c>
      <c r="BB180">
        <f t="shared" si="197"/>
        <v>0.964002899097367</v>
      </c>
      <c r="BC180" s="30" t="str">
        <f t="shared" si="198"/>
        <v>-0,120838438332894+0,089391766823209i</v>
      </c>
      <c r="BD180" s="32">
        <f t="shared" si="199"/>
        <v>-16.4602963166774</v>
      </c>
      <c r="BE180" s="31">
        <f t="shared" si="200"/>
        <v>143.507346069778</v>
      </c>
      <c r="BF180" s="30" t="str">
        <f t="shared" si="201"/>
        <v>0,843180542525631+1,28454668694613i</v>
      </c>
      <c r="BG180" s="68">
        <f t="shared" si="202"/>
        <v>3.73098492080253</v>
      </c>
      <c r="BH180" s="31">
        <f t="shared" si="203"/>
        <v>56.7189774500329</v>
      </c>
      <c r="BI180" s="30" t="str">
        <f t="shared" si="209"/>
        <v>4,32483340153937+7,44394480982596i</v>
      </c>
      <c r="BJ180" s="68">
        <f t="shared" si="204"/>
        <v>18.6991489240105</v>
      </c>
      <c r="BK180" s="31">
        <f t="shared" si="210"/>
        <v>59.8439792387883</v>
      </c>
      <c r="BL180" s="32">
        <f t="shared" si="205"/>
        <v>3.73098492080253</v>
      </c>
      <c r="BM180" s="31">
        <f t="shared" si="206"/>
        <v>56.7189774500329</v>
      </c>
      <c r="BO180">
        <f t="shared" si="207"/>
        <v>0</v>
      </c>
      <c r="BP180">
        <f t="shared" si="208"/>
        <v>0</v>
      </c>
    </row>
    <row r="181" spans="14:68">
      <c r="N181" s="7">
        <v>63</v>
      </c>
      <c r="O181" s="18">
        <f t="shared" si="158"/>
        <v>426.579518801593</v>
      </c>
      <c r="P181" s="86" t="str">
        <f t="shared" si="159"/>
        <v>163,636363636364</v>
      </c>
      <c r="Q181" s="4" t="str">
        <f t="shared" si="160"/>
        <v>1+16,3740629708905i</v>
      </c>
      <c r="R181" s="4">
        <f t="shared" si="171"/>
        <v>16.4045706488981</v>
      </c>
      <c r="S181" s="4">
        <f t="shared" si="172"/>
        <v>1.50979988958793</v>
      </c>
      <c r="T181" s="4" t="str">
        <f t="shared" si="161"/>
        <v>1+0,0420267616252857i</v>
      </c>
      <c r="U181" s="4">
        <f t="shared" si="173"/>
        <v>1.00088273473605</v>
      </c>
      <c r="V181" s="4">
        <f t="shared" si="174"/>
        <v>0.0420020445762832</v>
      </c>
      <c r="W181" t="str">
        <f t="shared" si="162"/>
        <v>1-0,0402041724731687i</v>
      </c>
      <c r="X181" s="4">
        <f t="shared" si="175"/>
        <v>1.00080786142209</v>
      </c>
      <c r="Y181" s="4">
        <f t="shared" si="176"/>
        <v>-0.0401825317774055</v>
      </c>
      <c r="Z181" t="str">
        <f t="shared" si="163"/>
        <v>0,999998514529911+0,00832800715515637i</v>
      </c>
      <c r="AA181" s="4">
        <f t="shared" si="177"/>
        <v>1.00003319183175</v>
      </c>
      <c r="AB181" s="4">
        <f t="shared" si="178"/>
        <v>0.0083278270017364</v>
      </c>
      <c r="AC181" s="67" t="str">
        <f t="shared" si="179"/>
        <v>0,544153427435323-9,97675765649652i</v>
      </c>
      <c r="AD181" s="68">
        <f t="shared" si="180"/>
        <v>19.9926888551162</v>
      </c>
      <c r="AE181" s="31">
        <f t="shared" si="181"/>
        <v>-86.8780605182749</v>
      </c>
      <c r="AF181" s="32" t="str">
        <f t="shared" si="182"/>
        <v>748,315388573934</v>
      </c>
      <c r="AG181" s="32" t="str">
        <f t="shared" si="164"/>
        <v>1+13,3418290873923i</v>
      </c>
      <c r="AH181" s="32">
        <f t="shared" si="183"/>
        <v>13.3792527219269</v>
      </c>
      <c r="AI181" s="32">
        <f t="shared" si="184"/>
        <v>1.49598397030205</v>
      </c>
      <c r="AJ181" s="32" t="str">
        <f t="shared" si="165"/>
        <v>1+0,0420267616252857i</v>
      </c>
      <c r="AK181" s="32">
        <f t="shared" si="185"/>
        <v>1.00088273473605</v>
      </c>
      <c r="AL181" s="32">
        <f t="shared" si="186"/>
        <v>0.0420020445762832</v>
      </c>
      <c r="AM181" s="32" t="str">
        <f t="shared" si="166"/>
        <v>1-0,00716334471016024i</v>
      </c>
      <c r="AN181" s="32">
        <f t="shared" si="187"/>
        <v>1.00002565642459</v>
      </c>
      <c r="AO181" s="32">
        <f t="shared" si="188"/>
        <v>-0.00716322218848508</v>
      </c>
      <c r="AP181" s="30" t="str">
        <f t="shared" si="189"/>
        <v>6,12618113883302-55,6456303368592i</v>
      </c>
      <c r="AQ181" s="32">
        <f t="shared" si="190"/>
        <v>34.960943180972</v>
      </c>
      <c r="AR181" s="31">
        <f t="shared" si="191"/>
        <v>-83.7174502315048</v>
      </c>
      <c r="AS181" t="str">
        <f t="shared" si="167"/>
        <v>-0,0000504684572142411</v>
      </c>
      <c r="AT181" t="str">
        <f t="shared" si="168"/>
        <v>0,000602258503648066i</v>
      </c>
      <c r="AU181">
        <f t="shared" si="192"/>
        <v>0.000602258503648066</v>
      </c>
      <c r="AV181">
        <f t="shared" si="193"/>
        <v>1.5707963267949</v>
      </c>
      <c r="AW181" t="str">
        <f t="shared" si="169"/>
        <v>1+0,0308345307352443i</v>
      </c>
      <c r="AX181">
        <f t="shared" si="194"/>
        <v>1.00047527120147</v>
      </c>
      <c r="AY181">
        <f t="shared" si="195"/>
        <v>0.0308247641414577</v>
      </c>
      <c r="AZ181" t="str">
        <f t="shared" si="170"/>
        <v>1+1,47415299068285i</v>
      </c>
      <c r="BA181">
        <f t="shared" si="196"/>
        <v>1.7813273253221</v>
      </c>
      <c r="BB181">
        <f t="shared" si="197"/>
        <v>0.974744952120652</v>
      </c>
      <c r="BC181" s="30" t="str">
        <f t="shared" si="198"/>
        <v>-0,12083327237177+0,087524499965449i</v>
      </c>
      <c r="BD181" s="32">
        <f t="shared" si="199"/>
        <v>-16.5245108114788</v>
      </c>
      <c r="BE181" s="31">
        <f t="shared" si="200"/>
        <v>144.082642968403</v>
      </c>
      <c r="BF181" s="30" t="str">
        <f t="shared" si="201"/>
        <v>0,807458885851998+1,25315103193535i</v>
      </c>
      <c r="BG181" s="68">
        <f t="shared" si="202"/>
        <v>3.46817804363744</v>
      </c>
      <c r="BH181" s="31">
        <f t="shared" si="203"/>
        <v>57.2045824501282</v>
      </c>
      <c r="BI181" s="30" t="str">
        <f t="shared" si="209"/>
        <v>4,13010945634841+7,26003454766666i</v>
      </c>
      <c r="BJ181" s="68">
        <f t="shared" si="204"/>
        <v>18.4364323694932</v>
      </c>
      <c r="BK181" s="31">
        <f t="shared" si="210"/>
        <v>60.3651927368983</v>
      </c>
      <c r="BL181" s="32">
        <f t="shared" si="205"/>
        <v>3.46817804363744</v>
      </c>
      <c r="BM181" s="31">
        <f t="shared" si="206"/>
        <v>57.2045824501282</v>
      </c>
      <c r="BO181">
        <f t="shared" si="207"/>
        <v>0</v>
      </c>
      <c r="BP181">
        <f t="shared" si="208"/>
        <v>0</v>
      </c>
    </row>
    <row r="182" spans="14:68">
      <c r="N182" s="7">
        <v>64</v>
      </c>
      <c r="O182" s="18">
        <f t="shared" si="158"/>
        <v>436.515832240166</v>
      </c>
      <c r="P182" s="86" t="str">
        <f t="shared" si="159"/>
        <v>163,636363636364</v>
      </c>
      <c r="Q182" s="4" t="str">
        <f t="shared" si="160"/>
        <v>1+16,755463893276i</v>
      </c>
      <c r="R182" s="4">
        <f t="shared" si="171"/>
        <v>16.7852783795466</v>
      </c>
      <c r="S182" s="4">
        <f t="shared" si="172"/>
        <v>1.51118501297239</v>
      </c>
      <c r="T182" s="4" t="str">
        <f t="shared" si="161"/>
        <v>1+0,0430056906594084i</v>
      </c>
      <c r="U182" s="4">
        <f t="shared" si="173"/>
        <v>1.0009243175331</v>
      </c>
      <c r="V182" s="4">
        <f t="shared" si="174"/>
        <v>0.0429792071849909</v>
      </c>
      <c r="W182" t="str">
        <f t="shared" si="162"/>
        <v>1-0,0411406479522402i</v>
      </c>
      <c r="X182" s="4">
        <f t="shared" si="175"/>
        <v>1.00084591866777</v>
      </c>
      <c r="Y182" s="4">
        <f t="shared" si="176"/>
        <v>-0.0411174605873369</v>
      </c>
      <c r="Z182" t="str">
        <f t="shared" si="163"/>
        <v>0,999998444521863+0,00852199136153547i</v>
      </c>
      <c r="AA182" s="4">
        <f t="shared" si="177"/>
        <v>1.00003475608746</v>
      </c>
      <c r="AB182" s="4">
        <f t="shared" si="178"/>
        <v>0.00852179832403022</v>
      </c>
      <c r="AC182" s="67" t="str">
        <f t="shared" si="179"/>
        <v>0,516866029133816-9,75204082303909i</v>
      </c>
      <c r="AD182" s="68">
        <f t="shared" si="180"/>
        <v>19.7940928126175</v>
      </c>
      <c r="AE182" s="31">
        <f t="shared" si="181"/>
        <v>-86.9661161620009</v>
      </c>
      <c r="AF182" s="32" t="str">
        <f t="shared" si="182"/>
        <v>748,315388573934</v>
      </c>
      <c r="AG182" s="32" t="str">
        <f t="shared" si="164"/>
        <v>1+13,652600209336i</v>
      </c>
      <c r="AH182" s="32">
        <f t="shared" si="183"/>
        <v>13.689174280283</v>
      </c>
      <c r="AI182" s="32">
        <f t="shared" si="184"/>
        <v>1.49768077459465</v>
      </c>
      <c r="AJ182" s="32" t="str">
        <f t="shared" si="165"/>
        <v>1+0,0430056906594084i</v>
      </c>
      <c r="AK182" s="32">
        <f t="shared" si="185"/>
        <v>1.0009243175331</v>
      </c>
      <c r="AL182" s="32">
        <f t="shared" si="186"/>
        <v>0.0429792071849909</v>
      </c>
      <c r="AM182" s="32" t="str">
        <f t="shared" si="166"/>
        <v>1-0,00733020044319837i</v>
      </c>
      <c r="AN182" s="32">
        <f t="shared" si="187"/>
        <v>1.00002686555839</v>
      </c>
      <c r="AO182" s="32">
        <f t="shared" si="188"/>
        <v>-0.00733006915904861</v>
      </c>
      <c r="AP182" s="30" t="str">
        <f t="shared" si="189"/>
        <v>5,93952417832014-54,3934307165809i</v>
      </c>
      <c r="AQ182" s="32">
        <f t="shared" si="190"/>
        <v>34.7624066327279</v>
      </c>
      <c r="AR182" s="31">
        <f t="shared" si="191"/>
        <v>-83.7682422899918</v>
      </c>
      <c r="AS182" t="str">
        <f t="shared" si="167"/>
        <v>-0,0000504684572142411</v>
      </c>
      <c r="AT182" t="str">
        <f t="shared" si="168"/>
        <v>0,000616286906324558i</v>
      </c>
      <c r="AU182">
        <f t="shared" si="192"/>
        <v>0.000616286906324558</v>
      </c>
      <c r="AV182">
        <f t="shared" si="193"/>
        <v>1.5707963267949</v>
      </c>
      <c r="AW182" t="str">
        <f t="shared" si="169"/>
        <v>1+0,031552759221641i</v>
      </c>
      <c r="AX182">
        <f t="shared" si="194"/>
        <v>1.00049766447229</v>
      </c>
      <c r="AY182">
        <f t="shared" si="195"/>
        <v>0.0315422944089758</v>
      </c>
      <c r="AZ182" t="str">
        <f t="shared" si="170"/>
        <v>1+1,50849042491547i</v>
      </c>
      <c r="BA182">
        <f t="shared" si="196"/>
        <v>1.80984622608156</v>
      </c>
      <c r="BB182">
        <f t="shared" si="197"/>
        <v>0.98539595851688</v>
      </c>
      <c r="BC182" s="30" t="str">
        <f t="shared" si="198"/>
        <v>-0,120827863419793+0,0857036247528397i</v>
      </c>
      <c r="BD182" s="32">
        <f t="shared" si="199"/>
        <v>-16.5867462913434</v>
      </c>
      <c r="BE182" s="31">
        <f t="shared" si="200"/>
        <v>144.651789226472</v>
      </c>
      <c r="BF182" s="30" t="str">
        <f t="shared" si="201"/>
        <v>0,773333429297605+1,22261554883879i</v>
      </c>
      <c r="BG182" s="68">
        <f t="shared" si="202"/>
        <v>3.20734652127412</v>
      </c>
      <c r="BH182" s="31">
        <f t="shared" si="203"/>
        <v>57.6856730644711</v>
      </c>
      <c r="BI182" s="30" t="str">
        <f t="shared" si="209"/>
        <v>3,94405415895681+7,08128076894618i</v>
      </c>
      <c r="BJ182" s="68">
        <f t="shared" si="204"/>
        <v>18.1756603413845</v>
      </c>
      <c r="BK182" s="31">
        <f t="shared" si="210"/>
        <v>60.8835469364802</v>
      </c>
      <c r="BL182" s="32">
        <f t="shared" si="205"/>
        <v>3.20734652127412</v>
      </c>
      <c r="BM182" s="31">
        <f t="shared" si="206"/>
        <v>57.6856730644711</v>
      </c>
      <c r="BO182">
        <f t="shared" si="207"/>
        <v>0</v>
      </c>
      <c r="BP182">
        <f t="shared" si="208"/>
        <v>0</v>
      </c>
    </row>
    <row r="183" spans="14:68">
      <c r="N183" s="7">
        <v>65</v>
      </c>
      <c r="O183" s="18">
        <f t="shared" si="158"/>
        <v>446.683592150963</v>
      </c>
      <c r="P183" s="86" t="str">
        <f t="shared" si="159"/>
        <v>163,636363636364</v>
      </c>
      <c r="Q183" s="4" t="str">
        <f t="shared" si="160"/>
        <v>1+17,1457487844026i</v>
      </c>
      <c r="R183" s="4">
        <f t="shared" si="171"/>
        <v>17.1748857748121</v>
      </c>
      <c r="S183" s="4">
        <f t="shared" si="172"/>
        <v>1.51253882842226</v>
      </c>
      <c r="T183" s="4" t="str">
        <f t="shared" si="161"/>
        <v>1+0,0440074218799665i</v>
      </c>
      <c r="U183" s="4">
        <f t="shared" si="173"/>
        <v>1.0009678582155</v>
      </c>
      <c r="V183" s="4">
        <f t="shared" si="174"/>
        <v>0.0439790458075922</v>
      </c>
      <c r="W183" t="str">
        <f t="shared" si="162"/>
        <v>1-0,042098936747417i</v>
      </c>
      <c r="X183" s="4">
        <f t="shared" si="175"/>
        <v>1.00088576794521</v>
      </c>
      <c r="Y183" s="4">
        <f t="shared" si="176"/>
        <v>-0.0420740922256819</v>
      </c>
      <c r="Z183" t="str">
        <f t="shared" si="163"/>
        <v>0,999998371214437+0,00872049404053637i</v>
      </c>
      <c r="AA183" s="4">
        <f t="shared" si="177"/>
        <v>1.00003639406166</v>
      </c>
      <c r="AB183" s="4">
        <f t="shared" si="178"/>
        <v>0.00872028719752921</v>
      </c>
      <c r="AC183" s="67" t="str">
        <f t="shared" si="179"/>
        <v>0,490797652680396-9,5323485431266i</v>
      </c>
      <c r="AD183" s="68">
        <f t="shared" si="180"/>
        <v>19.5954960635975</v>
      </c>
      <c r="AE183" s="31">
        <f t="shared" si="181"/>
        <v>-87.0525810704063</v>
      </c>
      <c r="AF183" s="32" t="str">
        <f t="shared" si="182"/>
        <v>748,315388573934</v>
      </c>
      <c r="AG183" s="32" t="str">
        <f t="shared" si="164"/>
        <v>1+13,9706101206243i</v>
      </c>
      <c r="AH183" s="32">
        <f t="shared" si="183"/>
        <v>14.0063538132695</v>
      </c>
      <c r="AI183" s="32">
        <f t="shared" si="184"/>
        <v>1.49933936255809</v>
      </c>
      <c r="AJ183" s="32" t="str">
        <f t="shared" si="165"/>
        <v>1+0,0440074218799665i</v>
      </c>
      <c r="AK183" s="32">
        <f t="shared" si="185"/>
        <v>1.0009678582155</v>
      </c>
      <c r="AL183" s="32">
        <f t="shared" si="186"/>
        <v>0.0439790458075922</v>
      </c>
      <c r="AM183" s="32" t="str">
        <f t="shared" si="166"/>
        <v>1-0,00750094274553817i</v>
      </c>
      <c r="AN183" s="32">
        <f t="shared" si="187"/>
        <v>1.00002813167534</v>
      </c>
      <c r="AO183" s="32">
        <f t="shared" si="188"/>
        <v>-0.00750080207225095</v>
      </c>
      <c r="AP183" s="30" t="str">
        <f t="shared" si="189"/>
        <v>5,76118050051833-53,1688464883389i</v>
      </c>
      <c r="AQ183" s="32">
        <f t="shared" si="190"/>
        <v>34.5638386581458</v>
      </c>
      <c r="AR183" s="31">
        <f t="shared" si="191"/>
        <v>-83.8157681223292</v>
      </c>
      <c r="AS183" t="str">
        <f t="shared" si="167"/>
        <v>-0,0000504684572142411</v>
      </c>
      <c r="AT183" t="str">
        <f t="shared" si="168"/>
        <v>0,000630642072476306i</v>
      </c>
      <c r="AU183">
        <f t="shared" si="192"/>
        <v>0.000630642072476306</v>
      </c>
      <c r="AV183">
        <f t="shared" si="193"/>
        <v>1.5707963267949</v>
      </c>
      <c r="AW183" t="str">
        <f t="shared" si="169"/>
        <v>1+0,0322877173986272i</v>
      </c>
      <c r="AX183">
        <f t="shared" si="194"/>
        <v>1.00052111256825</v>
      </c>
      <c r="AY183">
        <f t="shared" si="195"/>
        <v>0.0322765044652359</v>
      </c>
      <c r="AZ183" t="str">
        <f t="shared" si="170"/>
        <v>1+1,54362768073862i</v>
      </c>
      <c r="BA183">
        <f t="shared" si="196"/>
        <v>1.83923528042023</v>
      </c>
      <c r="BB183">
        <f t="shared" si="197"/>
        <v>0.99595189918496</v>
      </c>
      <c r="BC183" s="30" t="str">
        <f t="shared" si="198"/>
        <v>-0,12082220007076+0,0839281746623782i</v>
      </c>
      <c r="BD183" s="32">
        <f t="shared" si="199"/>
        <v>-16.6470376051979</v>
      </c>
      <c r="BE183" s="31">
        <f t="shared" si="200"/>
        <v>145.214532938044</v>
      </c>
      <c r="BF183" s="30" t="str">
        <f t="shared" si="201"/>
        <v>0,740733361283786+1,19291107393991i</v>
      </c>
      <c r="BG183" s="68">
        <f t="shared" si="202"/>
        <v>2.94845845839964</v>
      </c>
      <c r="BH183" s="31">
        <f t="shared" si="203"/>
        <v>58.1619518676376</v>
      </c>
      <c r="BI183" s="30" t="str">
        <f t="shared" si="209"/>
        <v>3,76628573159309+6,9075023712546i</v>
      </c>
      <c r="BJ183" s="68">
        <f t="shared" si="204"/>
        <v>17.9168010529479</v>
      </c>
      <c r="BK183" s="31">
        <f t="shared" si="210"/>
        <v>61.3987648157146</v>
      </c>
      <c r="BL183" s="32">
        <f t="shared" si="205"/>
        <v>2.94845845839964</v>
      </c>
      <c r="BM183" s="31">
        <f t="shared" si="206"/>
        <v>58.1619518676376</v>
      </c>
      <c r="BO183">
        <f t="shared" si="207"/>
        <v>0</v>
      </c>
      <c r="BP183">
        <f t="shared" si="208"/>
        <v>0</v>
      </c>
    </row>
    <row r="184" spans="14:68">
      <c r="N184" s="7">
        <v>66</v>
      </c>
      <c r="O184" s="18">
        <f t="shared" ref="O184:O218" si="211">10^(2+(N184/100))</f>
        <v>457.088189614876</v>
      </c>
      <c r="P184" s="86" t="str">
        <f t="shared" si="159"/>
        <v>163,636363636364</v>
      </c>
      <c r="Q184" s="4" t="str">
        <f t="shared" si="160"/>
        <v>1+17,5451245784855i</v>
      </c>
      <c r="R184" s="4">
        <f t="shared" si="171"/>
        <v>17.5735994171534</v>
      </c>
      <c r="S184" s="4">
        <f t="shared" si="172"/>
        <v>1.51386203388682</v>
      </c>
      <c r="T184" s="4" t="str">
        <f t="shared" si="161"/>
        <v>1+0,0450324864181127i</v>
      </c>
      <c r="U184" s="4">
        <f t="shared" si="173"/>
        <v>1.00101344887719</v>
      </c>
      <c r="V184" s="4">
        <f t="shared" si="174"/>
        <v>0.0450020825710779</v>
      </c>
      <c r="W184" t="str">
        <f t="shared" si="162"/>
        <v>1-0,0430795469561027i</v>
      </c>
      <c r="X184" s="4">
        <f t="shared" si="175"/>
        <v>1.00092749356082</v>
      </c>
      <c r="Y184" s="4">
        <f t="shared" si="176"/>
        <v>-0.0430529269035596</v>
      </c>
      <c r="Z184" t="str">
        <f t="shared" si="163"/>
        <v>0,999998294452138+0,00892362044090698i</v>
      </c>
      <c r="AA184" s="4">
        <f t="shared" si="177"/>
        <v>1.00003810922832</v>
      </c>
      <c r="AB184" s="4">
        <f t="shared" si="178"/>
        <v>0.00892339880508758</v>
      </c>
      <c r="AC184" s="67" t="str">
        <f t="shared" si="179"/>
        <v>0,465894151197906-9,31757401894758i</v>
      </c>
      <c r="AD184" s="68">
        <f t="shared" si="180"/>
        <v>19.3969015609073</v>
      </c>
      <c r="AE184" s="31">
        <f t="shared" si="181"/>
        <v>-87.1375000038863</v>
      </c>
      <c r="AF184" s="32" t="str">
        <f t="shared" si="182"/>
        <v>748,315388573934</v>
      </c>
      <c r="AG184" s="32" t="str">
        <f t="shared" si="164"/>
        <v>1+14,2960274343215i</v>
      </c>
      <c r="AH184" s="32">
        <f t="shared" si="183"/>
        <v>14.3309595074047</v>
      </c>
      <c r="AI184" s="32">
        <f t="shared" si="184"/>
        <v>1.50096057707612</v>
      </c>
      <c r="AJ184" s="32" t="str">
        <f t="shared" si="165"/>
        <v>1+0,0450324864181127i</v>
      </c>
      <c r="AK184" s="32">
        <f t="shared" si="185"/>
        <v>1.00101344887719</v>
      </c>
      <c r="AL184" s="32">
        <f t="shared" si="186"/>
        <v>0.0450020825710779</v>
      </c>
      <c r="AM184" s="32" t="str">
        <f t="shared" si="166"/>
        <v>1-0,0076756621470084i</v>
      </c>
      <c r="AN184" s="32">
        <f t="shared" si="187"/>
        <v>1.00002945746083</v>
      </c>
      <c r="AO184" s="32">
        <f t="shared" si="188"/>
        <v>-0.00767551141310522</v>
      </c>
      <c r="AP184" s="30" t="str">
        <f t="shared" si="189"/>
        <v>5,59078360191195-51,9713092819684i</v>
      </c>
      <c r="AQ184" s="32">
        <f t="shared" si="190"/>
        <v>34.3652422556648</v>
      </c>
      <c r="AR184" s="31">
        <f t="shared" si="191"/>
        <v>-83.8600512909354</v>
      </c>
      <c r="AS184" t="str">
        <f t="shared" si="167"/>
        <v>-0,0000504684572142411</v>
      </c>
      <c r="AT184" t="str">
        <f t="shared" si="168"/>
        <v>0,000645331613402417i</v>
      </c>
      <c r="AU184">
        <f t="shared" si="192"/>
        <v>0.000645331613402417</v>
      </c>
      <c r="AV184">
        <f t="shared" si="193"/>
        <v>1.5707963267949</v>
      </c>
      <c r="AW184" t="str">
        <f t="shared" si="169"/>
        <v>1+0,0330397949507567i</v>
      </c>
      <c r="AX184">
        <f t="shared" si="194"/>
        <v>1.00054566514997</v>
      </c>
      <c r="AY184">
        <f t="shared" si="195"/>
        <v>0.0330277804300258</v>
      </c>
      <c r="AZ184" t="str">
        <f t="shared" si="170"/>
        <v>1+1,57958338839043i</v>
      </c>
      <c r="BA184">
        <f t="shared" si="196"/>
        <v>1.86951429009756</v>
      </c>
      <c r="BB184">
        <f t="shared" si="197"/>
        <v>1.0064089610535</v>
      </c>
      <c r="BC184" s="30" t="str">
        <f t="shared" si="198"/>
        <v>-0,120816270385298+0,0821972071797396i</v>
      </c>
      <c r="BD184" s="32">
        <f t="shared" si="199"/>
        <v>-16.7054207502508</v>
      </c>
      <c r="BE184" s="31">
        <f t="shared" si="200"/>
        <v>145.770633507186</v>
      </c>
      <c r="BF184" s="30" t="str">
        <f t="shared" si="201"/>
        <v>0,709590968305938+1,16400974007804i</v>
      </c>
      <c r="BG184" s="68">
        <f t="shared" si="202"/>
        <v>2.6914808106565</v>
      </c>
      <c r="BH184" s="31">
        <f t="shared" si="203"/>
        <v>58.6331335033</v>
      </c>
      <c r="BI184" s="30" t="str">
        <f t="shared" si="209"/>
        <v>3,596438853138+6,73852655251169i</v>
      </c>
      <c r="BJ184" s="68">
        <f t="shared" si="204"/>
        <v>17.659821505414</v>
      </c>
      <c r="BK184" s="31">
        <f t="shared" si="210"/>
        <v>61.9105822162509</v>
      </c>
      <c r="BL184" s="32">
        <f t="shared" si="205"/>
        <v>2.6914808106565</v>
      </c>
      <c r="BM184" s="31">
        <f t="shared" si="206"/>
        <v>58.6331335033</v>
      </c>
      <c r="BO184">
        <f t="shared" si="207"/>
        <v>0</v>
      </c>
      <c r="BP184">
        <f t="shared" si="208"/>
        <v>0</v>
      </c>
    </row>
    <row r="185" spans="14:68">
      <c r="N185" s="7">
        <v>67</v>
      </c>
      <c r="O185" s="18">
        <f t="shared" si="211"/>
        <v>467.735141287198</v>
      </c>
      <c r="P185" s="86" t="str">
        <f t="shared" si="159"/>
        <v>163,636363636364</v>
      </c>
      <c r="Q185" s="4" t="str">
        <f t="shared" si="160"/>
        <v>1+17,9538030298569i</v>
      </c>
      <c r="R185" s="4">
        <f t="shared" si="171"/>
        <v>17.981630716787</v>
      </c>
      <c r="S185" s="4">
        <f t="shared" si="172"/>
        <v>1.51515531240252</v>
      </c>
      <c r="T185" s="4" t="str">
        <f t="shared" si="161"/>
        <v>1+0,0460814277766327i</v>
      </c>
      <c r="U185" s="4">
        <f t="shared" si="173"/>
        <v>1.00106118593517</v>
      </c>
      <c r="V185" s="4">
        <f t="shared" si="174"/>
        <v>0.0460488513324881</v>
      </c>
      <c r="W185" t="str">
        <f t="shared" si="162"/>
        <v>1-0,0440829985108094i</v>
      </c>
      <c r="X185" s="4">
        <f t="shared" si="175"/>
        <v>1.00097118377988</v>
      </c>
      <c r="Y185" s="4">
        <f t="shared" si="176"/>
        <v>-0.0440544761050901</v>
      </c>
      <c r="Z185" t="str">
        <f t="shared" si="163"/>
        <v>0,999998214072144+0,00913147826295337i</v>
      </c>
      <c r="AA185" s="4">
        <f t="shared" si="177"/>
        <v>1.00003990522516</v>
      </c>
      <c r="AB185" s="4">
        <f t="shared" si="178"/>
        <v>0.00913124077640571</v>
      </c>
      <c r="AC185" s="67" t="str">
        <f t="shared" si="179"/>
        <v>0,442103748340807-9,10761242068203i</v>
      </c>
      <c r="AD185" s="68">
        <f t="shared" si="180"/>
        <v>19.1983122627007</v>
      </c>
      <c r="AE185" s="31">
        <f t="shared" si="181"/>
        <v>-87.2209169824006</v>
      </c>
      <c r="AF185" s="32" t="str">
        <f t="shared" si="182"/>
        <v>748,315388573934</v>
      </c>
      <c r="AG185" s="32" t="str">
        <f t="shared" si="164"/>
        <v>1+14,6290246909945i</v>
      </c>
      <c r="AH185" s="32">
        <f t="shared" si="183"/>
        <v>14.6631634857464</v>
      </c>
      <c r="AI185" s="32">
        <f t="shared" si="184"/>
        <v>1.50254524363021</v>
      </c>
      <c r="AJ185" s="32" t="str">
        <f t="shared" si="165"/>
        <v>1+0,0460814277766327i</v>
      </c>
      <c r="AK185" s="32">
        <f t="shared" si="185"/>
        <v>1.00106118593517</v>
      </c>
      <c r="AL185" s="32">
        <f t="shared" si="186"/>
        <v>0.0460488513324881</v>
      </c>
      <c r="AM185" s="32" t="str">
        <f t="shared" si="166"/>
        <v>1-0,00785445128614831i</v>
      </c>
      <c r="AN185" s="32">
        <f t="shared" si="187"/>
        <v>1.00003084572677</v>
      </c>
      <c r="AO185" s="32">
        <f t="shared" si="188"/>
        <v>-0.00785428977213016</v>
      </c>
      <c r="AP185" s="30" t="str">
        <f t="shared" si="189"/>
        <v>5,42798280812471-50,8002597558666i</v>
      </c>
      <c r="AQ185" s="32">
        <f t="shared" si="190"/>
        <v>34.1666203660062</v>
      </c>
      <c r="AR185" s="31">
        <f t="shared" si="191"/>
        <v>-83.9011138097061</v>
      </c>
      <c r="AS185" t="str">
        <f t="shared" si="167"/>
        <v>-0,0000504684572142411</v>
      </c>
      <c r="AT185" t="str">
        <f t="shared" si="168"/>
        <v>0,000660363317691924i</v>
      </c>
      <c r="AU185">
        <f t="shared" si="192"/>
        <v>0.000660363317691924</v>
      </c>
      <c r="AV185">
        <f t="shared" si="193"/>
        <v>1.5707963267949</v>
      </c>
      <c r="AW185" t="str">
        <f t="shared" si="169"/>
        <v>1+0,0338093906395022i</v>
      </c>
      <c r="AX185">
        <f t="shared" si="194"/>
        <v>1.00057137421346</v>
      </c>
      <c r="AY185">
        <f t="shared" si="195"/>
        <v>0.0337965172456117</v>
      </c>
      <c r="AZ185" t="str">
        <f t="shared" si="170"/>
        <v>1+1,61637661206301i</v>
      </c>
      <c r="BA185">
        <f t="shared" si="196"/>
        <v>1.90070338349367</v>
      </c>
      <c r="BB185">
        <f t="shared" si="197"/>
        <v>1.01676354049309</v>
      </c>
      <c r="BC185" s="30" t="str">
        <f t="shared" si="198"/>
        <v>-0,120810061866162+0,0805098032941168i</v>
      </c>
      <c r="BD185" s="32">
        <f t="shared" si="199"/>
        <v>-16.7619327581836</v>
      </c>
      <c r="BE185" s="31">
        <f t="shared" si="200"/>
        <v>146.319861832619</v>
      </c>
      <c r="BF185" s="30" t="str">
        <f t="shared" si="201"/>
        <v>0,67984150327985+1,13588490581013i</v>
      </c>
      <c r="BG185" s="68">
        <f t="shared" si="202"/>
        <v>2.43637950451706</v>
      </c>
      <c r="BH185" s="31">
        <f t="shared" si="203"/>
        <v>59.0989448502179</v>
      </c>
      <c r="BI185" s="30" t="str">
        <f t="shared" si="209"/>
        <v>3,43416398137685+6,57418835208931i</v>
      </c>
      <c r="BJ185" s="68">
        <f t="shared" si="204"/>
        <v>17.4046876078226</v>
      </c>
      <c r="BK185" s="31">
        <f t="shared" si="210"/>
        <v>62.4187480229124</v>
      </c>
      <c r="BL185" s="32">
        <f t="shared" si="205"/>
        <v>2.43637950451706</v>
      </c>
      <c r="BM185" s="31">
        <f t="shared" si="206"/>
        <v>59.0989448502179</v>
      </c>
      <c r="BO185">
        <f t="shared" si="207"/>
        <v>0</v>
      </c>
      <c r="BP185">
        <f t="shared" si="208"/>
        <v>0</v>
      </c>
    </row>
    <row r="186" spans="14:68">
      <c r="N186" s="7">
        <v>68</v>
      </c>
      <c r="O186" s="18">
        <f t="shared" si="211"/>
        <v>478.630092322639</v>
      </c>
      <c r="P186" s="86" t="str">
        <f t="shared" si="159"/>
        <v>163,636363636364</v>
      </c>
      <c r="Q186" s="4" t="str">
        <f t="shared" si="160"/>
        <v>1+18,3720008252416i</v>
      </c>
      <c r="R186" s="4">
        <f t="shared" si="171"/>
        <v>18.3991960238125</v>
      </c>
      <c r="S186" s="4">
        <f t="shared" si="172"/>
        <v>1.51641933236817</v>
      </c>
      <c r="T186" s="4" t="str">
        <f t="shared" si="161"/>
        <v>1+0,04715480211812i</v>
      </c>
      <c r="U186" s="4">
        <f t="shared" si="173"/>
        <v>1.00111117033165</v>
      </c>
      <c r="V186" s="4">
        <f t="shared" si="174"/>
        <v>0.0471198979214908</v>
      </c>
      <c r="W186" t="str">
        <f t="shared" si="162"/>
        <v>1-0,0451098234548342i</v>
      </c>
      <c r="X186" s="4">
        <f t="shared" si="175"/>
        <v>1.00101693101172</v>
      </c>
      <c r="Y186" s="4">
        <f t="shared" si="176"/>
        <v>-0.0450792628231021</v>
      </c>
      <c r="Z186" t="str">
        <f t="shared" si="163"/>
        <v>0,999998129903957+0,00934417771564422i</v>
      </c>
      <c r="AA186" s="4">
        <f t="shared" si="177"/>
        <v>1.00004178586127</v>
      </c>
      <c r="AB186" s="4">
        <f t="shared" si="178"/>
        <v>0.00934392324479764</v>
      </c>
      <c r="AC186" s="67" t="str">
        <f t="shared" si="179"/>
        <v>0,41937693721405-8,90236087283219i</v>
      </c>
      <c r="AD186" s="68">
        <f t="shared" si="180"/>
        <v>18.9997311385137</v>
      </c>
      <c r="AE186" s="31">
        <f t="shared" si="181"/>
        <v>-87.3028753040994</v>
      </c>
      <c r="AF186" s="32" t="str">
        <f t="shared" si="182"/>
        <v>748,315388573934</v>
      </c>
      <c r="AG186" s="32" t="str">
        <f t="shared" si="164"/>
        <v>1+14,9697784501968i</v>
      </c>
      <c r="AH186" s="32">
        <f t="shared" si="183"/>
        <v>15.0031418992149</v>
      </c>
      <c r="AI186" s="32">
        <f t="shared" si="184"/>
        <v>1.50409417057876</v>
      </c>
      <c r="AJ186" s="32" t="str">
        <f t="shared" si="165"/>
        <v>1+0,04715480211812i</v>
      </c>
      <c r="AK186" s="32">
        <f t="shared" si="185"/>
        <v>1.00111117033165</v>
      </c>
      <c r="AL186" s="32">
        <f t="shared" si="186"/>
        <v>0.0471198979214908</v>
      </c>
      <c r="AM186" s="32" t="str">
        <f t="shared" si="166"/>
        <v>1-0,00803740495932613i</v>
      </c>
      <c r="AN186" s="32">
        <f t="shared" si="187"/>
        <v>1.00003229941761</v>
      </c>
      <c r="AO186" s="32">
        <f t="shared" si="188"/>
        <v>-0.00803723189423951</v>
      </c>
      <c r="AP186" s="30" t="str">
        <f t="shared" si="189"/>
        <v>5,27244261916606-49,6551476454076i</v>
      </c>
      <c r="AQ186" s="32">
        <f t="shared" si="190"/>
        <v>33.9679758781061</v>
      </c>
      <c r="AR186" s="31">
        <f t="shared" si="191"/>
        <v>-83.9389761489123</v>
      </c>
      <c r="AS186" t="str">
        <f t="shared" si="167"/>
        <v>-0,0000504684572142411</v>
      </c>
      <c r="AT186" t="str">
        <f t="shared" si="168"/>
        <v>0,000675745155353417i</v>
      </c>
      <c r="AU186">
        <f t="shared" si="192"/>
        <v>0.000675745155353417</v>
      </c>
      <c r="AV186">
        <f t="shared" si="193"/>
        <v>1.5707963267949</v>
      </c>
      <c r="AW186" t="str">
        <f t="shared" si="169"/>
        <v>1+0,0345969125146852i</v>
      </c>
      <c r="AX186">
        <f t="shared" si="194"/>
        <v>1.0005982941998</v>
      </c>
      <c r="AY186">
        <f t="shared" si="195"/>
        <v>0.0345831188700333</v>
      </c>
      <c r="AZ186" t="str">
        <f t="shared" si="170"/>
        <v>1+1,65402686001058i</v>
      </c>
      <c r="BA186">
        <f t="shared" si="196"/>
        <v>1.93282302698319</v>
      </c>
      <c r="BB186">
        <f t="shared" si="197"/>
        <v>1.02701224577746</v>
      </c>
      <c r="BC186" s="30" t="str">
        <f t="shared" si="198"/>
        <v>-0,1208035614324+0,0788650670051346i</v>
      </c>
      <c r="BD186" s="32">
        <f t="shared" si="199"/>
        <v>-16.8166115817527</v>
      </c>
      <c r="BE186" s="31">
        <f t="shared" si="200"/>
        <v>146.862000437649</v>
      </c>
      <c r="BF186" s="30" t="str">
        <f t="shared" si="201"/>
        <v>0,65142305914173+1,10851108884837i</v>
      </c>
      <c r="BG186" s="68">
        <f t="shared" si="202"/>
        <v>2.18311955676099</v>
      </c>
      <c r="BH186" s="31">
        <f t="shared" si="203"/>
        <v>59.5591251335491</v>
      </c>
      <c r="BI186" s="30" t="str">
        <f t="shared" si="209"/>
        <v>3,27912670036169+6,41433021945815i</v>
      </c>
      <c r="BJ186" s="68">
        <f t="shared" si="204"/>
        <v>17.1513642963534</v>
      </c>
      <c r="BK186" s="31">
        <f t="shared" si="210"/>
        <v>62.9230242887363</v>
      </c>
      <c r="BL186" s="32">
        <f t="shared" si="205"/>
        <v>2.18311955676099</v>
      </c>
      <c r="BM186" s="31">
        <f t="shared" si="206"/>
        <v>59.5591251335491</v>
      </c>
      <c r="BO186">
        <f t="shared" si="207"/>
        <v>0</v>
      </c>
      <c r="BP186">
        <f t="shared" si="208"/>
        <v>0</v>
      </c>
    </row>
    <row r="187" spans="14:68">
      <c r="N187" s="7">
        <v>69</v>
      </c>
      <c r="O187" s="18">
        <f t="shared" si="211"/>
        <v>489.778819368446</v>
      </c>
      <c r="P187" s="86" t="str">
        <f t="shared" si="159"/>
        <v>163,636363636364</v>
      </c>
      <c r="Q187" s="4" t="str">
        <f t="shared" si="160"/>
        <v>1+18,7999396986459i</v>
      </c>
      <c r="R187" s="4">
        <f t="shared" si="171"/>
        <v>18.8265167429539</v>
      </c>
      <c r="S187" s="4">
        <f t="shared" si="172"/>
        <v>1.51765474781807</v>
      </c>
      <c r="T187" s="4" t="str">
        <f t="shared" si="161"/>
        <v>1+0,0482531785598578i</v>
      </c>
      <c r="U187" s="4">
        <f t="shared" si="173"/>
        <v>1.00116350774543</v>
      </c>
      <c r="V187" s="4">
        <f t="shared" si="174"/>
        <v>0.0482157803864438</v>
      </c>
      <c r="W187" t="str">
        <f t="shared" si="162"/>
        <v>1-0,0461605662243538i</v>
      </c>
      <c r="X187" s="4">
        <f t="shared" si="175"/>
        <v>1.00106483200348</v>
      </c>
      <c r="Y187" s="4">
        <f t="shared" si="176"/>
        <v>-0.0461278217984288</v>
      </c>
      <c r="Z187" t="str">
        <f t="shared" si="163"/>
        <v>0,999998041769046+0,0095618315750447i</v>
      </c>
      <c r="AA187" s="4">
        <f t="shared" si="177"/>
        <v>1.00004375512524</v>
      </c>
      <c r="AB187" s="4">
        <f t="shared" si="178"/>
        <v>0.00956155890526397</v>
      </c>
      <c r="AC187" s="67" t="str">
        <f t="shared" si="179"/>
        <v>0,397666383347373-8,70171843887622i</v>
      </c>
      <c r="AD187" s="68">
        <f t="shared" si="180"/>
        <v>18.8011611753729</v>
      </c>
      <c r="AE187" s="31">
        <f t="shared" si="181"/>
        <v>-87.3834175639128</v>
      </c>
      <c r="AF187" s="32" t="str">
        <f t="shared" si="182"/>
        <v>748,315388573934</v>
      </c>
      <c r="AG187" s="32" t="str">
        <f t="shared" si="164"/>
        <v>1+15,3184693840818i</v>
      </c>
      <c r="AH187" s="32">
        <f t="shared" si="183"/>
        <v>15.3510750200451</v>
      </c>
      <c r="AI187" s="32">
        <f t="shared" si="184"/>
        <v>1.50560814943744</v>
      </c>
      <c r="AJ187" s="32" t="str">
        <f t="shared" si="165"/>
        <v>1+0,0482531785598578i</v>
      </c>
      <c r="AK187" s="32">
        <f t="shared" si="185"/>
        <v>1.00116350774543</v>
      </c>
      <c r="AL187" s="32">
        <f t="shared" si="186"/>
        <v>0.0482157803864438</v>
      </c>
      <c r="AM187" s="32" t="str">
        <f t="shared" si="166"/>
        <v>1-0,00822462017100099i</v>
      </c>
      <c r="AN187" s="32">
        <f t="shared" si="187"/>
        <v>1.00003382161653</v>
      </c>
      <c r="AO187" s="32">
        <f t="shared" si="188"/>
        <v>-0.00822443472875835</v>
      </c>
      <c r="AP187" s="30" t="str">
        <f t="shared" si="189"/>
        <v>5,12384207919298-48,535431794176i</v>
      </c>
      <c r="AQ187" s="32">
        <f t="shared" si="190"/>
        <v>33.7693116349572</v>
      </c>
      <c r="AR187" s="31">
        <f t="shared" si="191"/>
        <v>-83.9736572400332</v>
      </c>
      <c r="AS187" t="str">
        <f t="shared" si="167"/>
        <v>-0,0000504684572142411</v>
      </c>
      <c r="AT187" t="str">
        <f t="shared" si="168"/>
        <v>0,00069148528204082i</v>
      </c>
      <c r="AU187">
        <f t="shared" si="192"/>
        <v>0.00069148528204082</v>
      </c>
      <c r="AV187">
        <f t="shared" si="193"/>
        <v>1.5707963267949</v>
      </c>
      <c r="AW187" t="str">
        <f t="shared" si="169"/>
        <v>1+0,0354027781308276i</v>
      </c>
      <c r="AX187">
        <f t="shared" si="194"/>
        <v>1.00062648210977</v>
      </c>
      <c r="AY187">
        <f t="shared" si="195"/>
        <v>0.03538799847403</v>
      </c>
      <c r="AZ187" t="str">
        <f t="shared" si="170"/>
        <v>1+1,69255409489297i</v>
      </c>
      <c r="BA187">
        <f t="shared" si="196"/>
        <v>1.96589403685421</v>
      </c>
      <c r="BB187">
        <f t="shared" si="197"/>
        <v>1.03715189862175</v>
      </c>
      <c r="BC187" s="30" t="str">
        <f t="shared" si="198"/>
        <v>-0,12079675539236+0,07726212484156i</v>
      </c>
      <c r="BD187" s="32">
        <f t="shared" si="199"/>
        <v>-16.8694959824486</v>
      </c>
      <c r="BE187" s="31">
        <f t="shared" si="200"/>
        <v>147.396843547029</v>
      </c>
      <c r="BF187" s="30" t="str">
        <f t="shared" si="201"/>
        <v>0,624276447523582+1,0818639035096i</v>
      </c>
      <c r="BG187" s="68">
        <f t="shared" si="202"/>
        <v>1.93166519292437</v>
      </c>
      <c r="BH187" s="31">
        <f t="shared" si="203"/>
        <v>60.0134259831165</v>
      </c>
      <c r="BI187" s="30" t="str">
        <f t="shared" si="209"/>
        <v>3,13100709221129+6,2588016086947i</v>
      </c>
      <c r="BJ187" s="68">
        <f t="shared" si="204"/>
        <v>16.8998156525086</v>
      </c>
      <c r="BK187" s="31">
        <f t="shared" si="210"/>
        <v>63.4231863069959</v>
      </c>
      <c r="BL187" s="32">
        <f t="shared" si="205"/>
        <v>1.93166519292437</v>
      </c>
      <c r="BM187" s="31">
        <f t="shared" si="206"/>
        <v>60.0134259831165</v>
      </c>
      <c r="BO187">
        <f t="shared" si="207"/>
        <v>0</v>
      </c>
      <c r="BP187">
        <f t="shared" si="208"/>
        <v>0</v>
      </c>
    </row>
    <row r="188" spans="14:68">
      <c r="N188" s="7">
        <v>70</v>
      </c>
      <c r="O188" s="18">
        <f t="shared" si="211"/>
        <v>501.187233627273</v>
      </c>
      <c r="P188" s="86" t="str">
        <f t="shared" si="159"/>
        <v>163,636363636364</v>
      </c>
      <c r="Q188" s="4" t="str">
        <f t="shared" si="160"/>
        <v>1+19,2378465489251i</v>
      </c>
      <c r="R188" s="4">
        <f t="shared" si="171"/>
        <v>19.2638194509809</v>
      </c>
      <c r="S188" s="4">
        <f t="shared" si="172"/>
        <v>1.51886219869286</v>
      </c>
      <c r="T188" s="4" t="str">
        <f t="shared" si="161"/>
        <v>1+0,0493771394755745i</v>
      </c>
      <c r="U188" s="4">
        <f t="shared" si="173"/>
        <v>1.00121830881321</v>
      </c>
      <c r="V188" s="4">
        <f t="shared" si="174"/>
        <v>0.0493370692438767</v>
      </c>
      <c r="W188" t="str">
        <f t="shared" si="162"/>
        <v>1-0,047235783937093i</v>
      </c>
      <c r="X188" s="4">
        <f t="shared" si="175"/>
        <v>1.00111498804291</v>
      </c>
      <c r="Y188" s="4">
        <f t="shared" si="176"/>
        <v>-0.0472006997627476</v>
      </c>
      <c r="Z188" t="str">
        <f t="shared" si="163"/>
        <v>0,999997949480464+0,0097845552441121i</v>
      </c>
      <c r="AA188" s="4">
        <f t="shared" si="177"/>
        <v>1.00004581719362</v>
      </c>
      <c r="AB188" s="4">
        <f t="shared" si="178"/>
        <v>0.00978426307390067</v>
      </c>
      <c r="AC188" s="67" t="str">
        <f t="shared" si="179"/>
        <v>0,376926831584256-8,5055861044047i</v>
      </c>
      <c r="AD188" s="68">
        <f t="shared" si="180"/>
        <v>18.6026053839402</v>
      </c>
      <c r="AE188" s="31">
        <f t="shared" si="181"/>
        <v>-87.4625856720923</v>
      </c>
      <c r="AF188" s="32" t="str">
        <f t="shared" si="182"/>
        <v>748,315388573934</v>
      </c>
      <c r="AG188" s="32" t="str">
        <f t="shared" si="164"/>
        <v>1+15,6752823731982i</v>
      </c>
      <c r="AH188" s="32">
        <f t="shared" si="183"/>
        <v>15.7071473374225</v>
      </c>
      <c r="AI188" s="32">
        <f t="shared" si="184"/>
        <v>1.50708795516033</v>
      </c>
      <c r="AJ188" s="32" t="str">
        <f t="shared" si="165"/>
        <v>1+0,0493771394755745i</v>
      </c>
      <c r="AK188" s="32">
        <f t="shared" si="185"/>
        <v>1.00121830881321</v>
      </c>
      <c r="AL188" s="32">
        <f t="shared" si="186"/>
        <v>0.0493370692438767</v>
      </c>
      <c r="AM188" s="32" t="str">
        <f t="shared" si="166"/>
        <v>1-0,00841619618515627i</v>
      </c>
      <c r="AN188" s="32">
        <f t="shared" si="187"/>
        <v>1.00003541555198</v>
      </c>
      <c r="AO188" s="32">
        <f t="shared" si="188"/>
        <v>-0.00841599748059333</v>
      </c>
      <c r="AP188" s="30" t="str">
        <f t="shared" si="189"/>
        <v>4,98187417010296-47,4405801693822i</v>
      </c>
      <c r="AQ188" s="32">
        <f t="shared" si="190"/>
        <v>33.5706304393687</v>
      </c>
      <c r="AR188" s="31">
        <f t="shared" si="191"/>
        <v>-84.0051744805004</v>
      </c>
      <c r="AS188" t="str">
        <f t="shared" si="167"/>
        <v>-0,0000504684572142411</v>
      </c>
      <c r="AT188" t="str">
        <f t="shared" si="168"/>
        <v>0,000707592043377653i</v>
      </c>
      <c r="AU188">
        <f t="shared" si="192"/>
        <v>0.000707592043377653</v>
      </c>
      <c r="AV188">
        <f t="shared" si="193"/>
        <v>1.5707963267949</v>
      </c>
      <c r="AW188" t="str">
        <f t="shared" si="169"/>
        <v>1+0,0362274147685463i</v>
      </c>
      <c r="AX188">
        <f t="shared" si="194"/>
        <v>1.00065599762396</v>
      </c>
      <c r="AY188">
        <f t="shared" si="195"/>
        <v>0.0362115786416303</v>
      </c>
      <c r="AZ188" t="str">
        <f t="shared" si="170"/>
        <v>1+1,73197874436007i</v>
      </c>
      <c r="BA188">
        <f t="shared" si="196"/>
        <v>1.99993759175507</v>
      </c>
      <c r="BB188">
        <f t="shared" si="197"/>
        <v>1.04717953483221</v>
      </c>
      <c r="BC188" s="30" t="str">
        <f t="shared" si="198"/>
        <v>-0,120789629415452+0,0757001253915125i</v>
      </c>
      <c r="BD188" s="32">
        <f t="shared" si="199"/>
        <v>-16.9206254198219</v>
      </c>
      <c r="BE188" s="31">
        <f t="shared" si="200"/>
        <v>147.924197112687</v>
      </c>
      <c r="BF188" s="30" t="str">
        <f t="shared" si="201"/>
        <v>0,598345082327939+1,05592000192662i</v>
      </c>
      <c r="BG188" s="68">
        <f t="shared" si="202"/>
        <v>1.68197996411837</v>
      </c>
      <c r="BH188" s="31">
        <f t="shared" si="203"/>
        <v>60.4616114405947</v>
      </c>
      <c r="BI188" s="30" t="str">
        <f t="shared" si="209"/>
        <v>2,98949913266718+6,10745859727525i</v>
      </c>
      <c r="BJ188" s="68">
        <f t="shared" si="204"/>
        <v>16.6500050195469</v>
      </c>
      <c r="BK188" s="31">
        <f t="shared" si="210"/>
        <v>63.9190226321864</v>
      </c>
      <c r="BL188" s="32">
        <f t="shared" si="205"/>
        <v>1.68197996411837</v>
      </c>
      <c r="BM188" s="31">
        <f t="shared" si="206"/>
        <v>60.4616114405947</v>
      </c>
      <c r="BO188">
        <f t="shared" si="207"/>
        <v>0</v>
      </c>
      <c r="BP188">
        <f t="shared" si="208"/>
        <v>0</v>
      </c>
    </row>
    <row r="189" spans="14:68">
      <c r="N189" s="7">
        <v>71</v>
      </c>
      <c r="O189" s="18">
        <f t="shared" si="211"/>
        <v>512.861383991365</v>
      </c>
      <c r="P189" s="86" t="str">
        <f t="shared" si="159"/>
        <v>163,636363636364</v>
      </c>
      <c r="Q189" s="4" t="str">
        <f t="shared" si="160"/>
        <v>1+19,6859535600876i</v>
      </c>
      <c r="R189" s="4">
        <f t="shared" si="171"/>
        <v>19.7113360168692</v>
      </c>
      <c r="S189" s="4">
        <f t="shared" si="172"/>
        <v>1.52004231110787</v>
      </c>
      <c r="T189" s="4" t="str">
        <f t="shared" si="161"/>
        <v>1+0,0505272808042247i</v>
      </c>
      <c r="U189" s="4">
        <f t="shared" si="173"/>
        <v>1.00127568936106</v>
      </c>
      <c r="V189" s="4">
        <f t="shared" si="174"/>
        <v>0.0504843477313044</v>
      </c>
      <c r="W189" t="str">
        <f t="shared" si="162"/>
        <v>1-0,048336046687715i</v>
      </c>
      <c r="X189" s="4">
        <f t="shared" si="175"/>
        <v>1.00116750517054</v>
      </c>
      <c r="Y189" s="4">
        <f t="shared" si="176"/>
        <v>-0.0482984556849007</v>
      </c>
      <c r="Z189" t="str">
        <f t="shared" si="163"/>
        <v>0,999997852842456+0,0100124668138838i</v>
      </c>
      <c r="AA189" s="4">
        <f t="shared" si="177"/>
        <v>1.00004797643974</v>
      </c>
      <c r="AB189" s="4">
        <f t="shared" si="178"/>
        <v>0.0100121537486726</v>
      </c>
      <c r="AC189" s="67" t="str">
        <f t="shared" si="179"/>
        <v>0,357115016748086-8,31386675889639i</v>
      </c>
      <c r="AD189" s="68">
        <f t="shared" si="180"/>
        <v>18.4040668047088</v>
      </c>
      <c r="AE189" s="31">
        <f t="shared" si="181"/>
        <v>-87.5404208726975</v>
      </c>
      <c r="AF189" s="32" t="str">
        <f t="shared" si="182"/>
        <v>748,315388573934</v>
      </c>
      <c r="AG189" s="32" t="str">
        <f t="shared" si="164"/>
        <v>1+16,0404066045158i</v>
      </c>
      <c r="AH189" s="32">
        <f t="shared" si="183"/>
        <v>16.0715476553502</v>
      </c>
      <c r="AI189" s="32">
        <f t="shared" si="184"/>
        <v>1.50853434642129</v>
      </c>
      <c r="AJ189" s="32" t="str">
        <f t="shared" si="165"/>
        <v>1+0,0505272808042247i</v>
      </c>
      <c r="AK189" s="32">
        <f t="shared" si="185"/>
        <v>1.00127568936106</v>
      </c>
      <c r="AL189" s="32">
        <f t="shared" si="186"/>
        <v>0.0504843477313044</v>
      </c>
      <c r="AM189" s="32" t="str">
        <f t="shared" si="166"/>
        <v>1-0,00861223457793042i</v>
      </c>
      <c r="AN189" s="32">
        <f t="shared" si="187"/>
        <v>1.00003708460458</v>
      </c>
      <c r="AO189" s="32">
        <f t="shared" si="188"/>
        <v>-0.00861202166258162</v>
      </c>
      <c r="AP189" s="30" t="str">
        <f t="shared" si="189"/>
        <v>4,84624522827229-46,3700698627581i</v>
      </c>
      <c r="AQ189" s="32">
        <f t="shared" si="190"/>
        <v>33.3719350596567</v>
      </c>
      <c r="AR189" s="31">
        <f t="shared" si="191"/>
        <v>-84.0335437383325</v>
      </c>
      <c r="AS189" t="str">
        <f t="shared" si="167"/>
        <v>-0,0000504684572142411</v>
      </c>
      <c r="AT189" t="str">
        <f t="shared" si="168"/>
        <v>0,00072407397938197i</v>
      </c>
      <c r="AU189">
        <f t="shared" si="192"/>
        <v>0.00072407397938197</v>
      </c>
      <c r="AV189">
        <f t="shared" si="193"/>
        <v>1.5707963267949</v>
      </c>
      <c r="AW189" t="str">
        <f t="shared" si="169"/>
        <v>1+0,0370712596611017i</v>
      </c>
      <c r="AX189">
        <f t="shared" si="194"/>
        <v>1.00068690322841</v>
      </c>
      <c r="AY189">
        <f t="shared" si="195"/>
        <v>0.0370542915744159</v>
      </c>
      <c r="AZ189" t="str">
        <f t="shared" si="170"/>
        <v>1+1,77232171188288i</v>
      </c>
      <c r="BA189">
        <f t="shared" si="196"/>
        <v>2.03497524565078</v>
      </c>
      <c r="BB189">
        <f t="shared" si="197"/>
        <v>1.05709240410672</v>
      </c>
      <c r="BC189" s="30" t="str">
        <f t="shared" si="198"/>
        <v>-0,120782168502656+0,0741782388439007i</v>
      </c>
      <c r="BD189" s="32">
        <f t="shared" si="199"/>
        <v>-16.9700399430328</v>
      </c>
      <c r="BE189" s="31">
        <f t="shared" si="200"/>
        <v>148.443878790591</v>
      </c>
      <c r="BF189" s="30" t="str">
        <f t="shared" si="201"/>
        <v>0,573574868030087+1,03065701878874i</v>
      </c>
      <c r="BG189" s="68">
        <f t="shared" si="202"/>
        <v>1.43402686167601</v>
      </c>
      <c r="BH189" s="31">
        <f t="shared" si="203"/>
        <v>60.9034579178938</v>
      </c>
      <c r="BI189" s="30" t="str">
        <f t="shared" si="209"/>
        <v>2,85431010972166+5,96016352768248i</v>
      </c>
      <c r="BJ189" s="68">
        <f t="shared" si="204"/>
        <v>16.4018951166238</v>
      </c>
      <c r="BK189" s="31">
        <f t="shared" si="210"/>
        <v>64.4103350522587</v>
      </c>
      <c r="BL189" s="32">
        <f t="shared" si="205"/>
        <v>1.43402686167601</v>
      </c>
      <c r="BM189" s="31">
        <f t="shared" si="206"/>
        <v>60.9034579178938</v>
      </c>
      <c r="BO189">
        <f t="shared" si="207"/>
        <v>0</v>
      </c>
      <c r="BP189">
        <f t="shared" si="208"/>
        <v>0</v>
      </c>
    </row>
    <row r="190" spans="14:68">
      <c r="N190" s="7">
        <v>72</v>
      </c>
      <c r="O190" s="18">
        <f t="shared" si="211"/>
        <v>524.807460249772</v>
      </c>
      <c r="P190" s="86" t="str">
        <f t="shared" si="159"/>
        <v>163,636363636364</v>
      </c>
      <c r="Q190" s="4" t="str">
        <f t="shared" si="160"/>
        <v>1+20,1444983244019i</v>
      </c>
      <c r="R190" s="4">
        <f t="shared" si="171"/>
        <v>20.1693037247653</v>
      </c>
      <c r="S190" s="4">
        <f t="shared" si="172"/>
        <v>1.52119569761886</v>
      </c>
      <c r="T190" s="4" t="str">
        <f t="shared" si="161"/>
        <v>1+0,051704212365965i</v>
      </c>
      <c r="U190" s="4">
        <f t="shared" si="173"/>
        <v>1.00133577064658</v>
      </c>
      <c r="V190" s="4">
        <f t="shared" si="174"/>
        <v>0.0516582120632828</v>
      </c>
      <c r="W190" t="str">
        <f t="shared" si="162"/>
        <v>1-0,0494619378500941i</v>
      </c>
      <c r="X190" s="4">
        <f t="shared" si="175"/>
        <v>1.00122249440166</v>
      </c>
      <c r="Y190" s="4">
        <f t="shared" si="176"/>
        <v>-0.0494216610206278</v>
      </c>
      <c r="Z190" t="str">
        <f t="shared" si="163"/>
        <v>0,999997751650038+0,0102456871260909i</v>
      </c>
      <c r="AA190" s="4">
        <f t="shared" si="177"/>
        <v>1.00005023744301</v>
      </c>
      <c r="AB190" s="4">
        <f t="shared" si="178"/>
        <v>0.0102453516715829</v>
      </c>
      <c r="AC190" s="67" t="str">
        <f t="shared" si="179"/>
        <v>0,338189577950621-8,12646517627373i</v>
      </c>
      <c r="AD190" s="68">
        <f t="shared" si="180"/>
        <v>18.2055485142603</v>
      </c>
      <c r="AE190" s="31">
        <f t="shared" si="181"/>
        <v>-87.616963762019</v>
      </c>
      <c r="AF190" s="32" t="str">
        <f t="shared" si="182"/>
        <v>748,315388573934</v>
      </c>
      <c r="AG190" s="32" t="str">
        <f t="shared" si="164"/>
        <v>1+16,4140356717349i</v>
      </c>
      <c r="AH190" s="32">
        <f t="shared" si="183"/>
        <v>16.4444691928011</v>
      </c>
      <c r="AI190" s="32">
        <f t="shared" si="184"/>
        <v>1.50994806589509</v>
      </c>
      <c r="AJ190" s="32" t="str">
        <f t="shared" si="165"/>
        <v>1+0,051704212365965i</v>
      </c>
      <c r="AK190" s="32">
        <f t="shared" si="185"/>
        <v>1.00133577064658</v>
      </c>
      <c r="AL190" s="32">
        <f t="shared" si="186"/>
        <v>0.0516582120632828</v>
      </c>
      <c r="AM190" s="32" t="str">
        <f t="shared" si="166"/>
        <v>1-0,00881283929147419i</v>
      </c>
      <c r="AN190" s="32">
        <f t="shared" si="187"/>
        <v>1.00003883231421</v>
      </c>
      <c r="AO190" s="32">
        <f t="shared" si="188"/>
        <v>-0.00881261114904603</v>
      </c>
      <c r="AP190" s="30" t="str">
        <f t="shared" si="189"/>
        <v>4,71667438375051-45,323387078132i</v>
      </c>
      <c r="AQ190" s="32">
        <f t="shared" si="190"/>
        <v>33.1732282352717</v>
      </c>
      <c r="AR190" s="31">
        <f t="shared" si="191"/>
        <v>-84.0587793566426</v>
      </c>
      <c r="AS190" t="str">
        <f t="shared" si="167"/>
        <v>-0,0000504684572142411</v>
      </c>
      <c r="AT190" t="str">
        <f t="shared" si="168"/>
        <v>0,000740939828994409i</v>
      </c>
      <c r="AU190">
        <f t="shared" si="192"/>
        <v>0.000740939828994409</v>
      </c>
      <c r="AV190">
        <f t="shared" si="193"/>
        <v>1.5707963267949</v>
      </c>
      <c r="AW190" t="str">
        <f t="shared" si="169"/>
        <v>1+0,0379347602262255i</v>
      </c>
      <c r="AX190">
        <f t="shared" si="194"/>
        <v>1.00071926434611</v>
      </c>
      <c r="AY190">
        <f t="shared" si="195"/>
        <v>0.0379165792994825</v>
      </c>
      <c r="AZ190" t="str">
        <f t="shared" si="170"/>
        <v>1+1,81360438783678i</v>
      </c>
      <c r="BA190">
        <f t="shared" si="196"/>
        <v>2.0710289412707</v>
      </c>
      <c r="BB190">
        <f t="shared" si="197"/>
        <v>1.06688796903002</v>
      </c>
      <c r="BC190" s="30" t="str">
        <f t="shared" si="198"/>
        <v>-0,120774356955678+0,0726956565408099i</v>
      </c>
      <c r="BD190" s="32">
        <f t="shared" si="199"/>
        <v>-17.0177800851363</v>
      </c>
      <c r="BE190" s="31">
        <f t="shared" si="200"/>
        <v>148.955717871271</v>
      </c>
      <c r="BF190" s="30" t="str">
        <f t="shared" si="201"/>
        <v>0,549914092539149+1,00605351939155i</v>
      </c>
      <c r="BG190" s="68">
        <f t="shared" si="202"/>
        <v>1.18776842912397</v>
      </c>
      <c r="BH190" s="31">
        <f t="shared" si="203"/>
        <v>61.3387541092516</v>
      </c>
      <c r="BI190" s="30" t="str">
        <f t="shared" si="209"/>
        <v>2,72516006463128+5,81678467043064i</v>
      </c>
      <c r="BJ190" s="68">
        <f t="shared" si="204"/>
        <v>16.1554481501354</v>
      </c>
      <c r="BK190" s="31">
        <f t="shared" si="210"/>
        <v>64.8969385146279</v>
      </c>
      <c r="BL190" s="32">
        <f t="shared" si="205"/>
        <v>1.18776842912397</v>
      </c>
      <c r="BM190" s="31">
        <f t="shared" si="206"/>
        <v>61.3387541092516</v>
      </c>
      <c r="BO190">
        <f t="shared" si="207"/>
        <v>0</v>
      </c>
      <c r="BP190">
        <f t="shared" si="208"/>
        <v>0</v>
      </c>
    </row>
    <row r="191" spans="14:68">
      <c r="N191" s="7">
        <v>73</v>
      </c>
      <c r="O191" s="18">
        <f t="shared" si="211"/>
        <v>537.031796370253</v>
      </c>
      <c r="P191" s="86" t="str">
        <f t="shared" si="159"/>
        <v>163,636363636364</v>
      </c>
      <c r="Q191" s="4" t="str">
        <f t="shared" si="160"/>
        <v>1+20,6137239683719i</v>
      </c>
      <c r="R191" s="4">
        <f t="shared" si="171"/>
        <v>20.6379653998215</v>
      </c>
      <c r="S191" s="4">
        <f t="shared" si="172"/>
        <v>1.52232295748485</v>
      </c>
      <c r="T191" s="4" t="str">
        <f t="shared" si="161"/>
        <v>1+0,0529085581854879i</v>
      </c>
      <c r="U191" s="4">
        <f t="shared" si="173"/>
        <v>1.0013986796123</v>
      </c>
      <c r="V191" s="4">
        <f t="shared" si="174"/>
        <v>0.0528592716905927</v>
      </c>
      <c r="W191" t="str">
        <f t="shared" si="162"/>
        <v>1-0,0506140543866275i</v>
      </c>
      <c r="X191" s="4">
        <f t="shared" si="175"/>
        <v>1.00128007195862</v>
      </c>
      <c r="Y191" s="4">
        <f t="shared" si="176"/>
        <v>-0.0505708999656253</v>
      </c>
      <c r="Z191" t="str">
        <f t="shared" si="163"/>
        <v>0,999997645688569+0,01048433983723i</v>
      </c>
      <c r="AA191" s="4">
        <f t="shared" si="177"/>
        <v>1.00005260499861</v>
      </c>
      <c r="AB191" s="4">
        <f t="shared" si="178"/>
        <v>0.0104839803922693</v>
      </c>
      <c r="AC191" s="67" t="str">
        <f t="shared" si="179"/>
        <v>0,320110976410908-7,94328799436955i</v>
      </c>
      <c r="AD191" s="68">
        <f t="shared" si="180"/>
        <v>18.0070536315933</v>
      </c>
      <c r="AE191" s="31">
        <f t="shared" si="181"/>
        <v>-87.6922543069325</v>
      </c>
      <c r="AF191" s="32" t="str">
        <f t="shared" si="182"/>
        <v>748,315388573934</v>
      </c>
      <c r="AG191" s="32" t="str">
        <f t="shared" si="164"/>
        <v>1+16,7963676779327i</v>
      </c>
      <c r="AH191" s="32">
        <f t="shared" si="183"/>
        <v>16.826109686208</v>
      </c>
      <c r="AI191" s="32">
        <f t="shared" si="184"/>
        <v>1.51132984053805</v>
      </c>
      <c r="AJ191" s="32" t="str">
        <f t="shared" si="165"/>
        <v>1+0,0529085581854879i</v>
      </c>
      <c r="AK191" s="32">
        <f t="shared" si="185"/>
        <v>1.0013986796123</v>
      </c>
      <c r="AL191" s="32">
        <f t="shared" si="186"/>
        <v>0.0528592716905927</v>
      </c>
      <c r="AM191" s="32" t="str">
        <f t="shared" si="166"/>
        <v>1-0,00901811668906203i</v>
      </c>
      <c r="AN191" s="32">
        <f t="shared" si="187"/>
        <v>1.00004066238759</v>
      </c>
      <c r="AO191" s="32">
        <f t="shared" si="188"/>
        <v>-0.00901787223058275</v>
      </c>
      <c r="AP191" s="30" t="str">
        <f t="shared" si="189"/>
        <v>4,59289302122406-44,300027106811i</v>
      </c>
      <c r="AQ191" s="32">
        <f t="shared" si="190"/>
        <v>32.9745126823765</v>
      </c>
      <c r="AR191" s="31">
        <f t="shared" si="191"/>
        <v>-84.0808941580041</v>
      </c>
      <c r="AS191" t="str">
        <f t="shared" si="167"/>
        <v>-0,0000504684572142411</v>
      </c>
      <c r="AT191" t="str">
        <f t="shared" si="168"/>
        <v>0,00075819853471168i</v>
      </c>
      <c r="AU191">
        <f t="shared" si="192"/>
        <v>0.00075819853471168</v>
      </c>
      <c r="AV191">
        <f t="shared" si="193"/>
        <v>1.5707963267949</v>
      </c>
      <c r="AW191" t="str">
        <f t="shared" si="169"/>
        <v>1+0,0388183743033473i</v>
      </c>
      <c r="AX191">
        <f t="shared" si="194"/>
        <v>1.00075314947471</v>
      </c>
      <c r="AY191">
        <f t="shared" si="195"/>
        <v>0.0387988938811041</v>
      </c>
      <c r="AZ191" t="str">
        <f t="shared" si="170"/>
        <v>1+1,855848660843i</v>
      </c>
      <c r="BA191">
        <f t="shared" si="196"/>
        <v>2.10812102402892</v>
      </c>
      <c r="BB191">
        <f t="shared" si="197"/>
        <v>1.07656390331137</v>
      </c>
      <c r="BC191" s="30" t="str">
        <f t="shared" si="198"/>
        <v>-0,120766178344729+0,0712515905405633i</v>
      </c>
      <c r="BD191" s="32">
        <f t="shared" si="199"/>
        <v>-17.0638867605599</v>
      </c>
      <c r="BE191" s="31">
        <f t="shared" si="200"/>
        <v>149.459555166708</v>
      </c>
      <c r="BF191" s="30" t="str">
        <f t="shared" si="201"/>
        <v>0,527313324453246+0,982088950790348i</v>
      </c>
      <c r="BG191" s="68">
        <f t="shared" si="202"/>
        <v>0.943166871033378</v>
      </c>
      <c r="BH191" s="31">
        <f t="shared" si="203"/>
        <v>61.7673008597757</v>
      </c>
      <c r="BI191" s="30" t="str">
        <f t="shared" si="209"/>
        <v>2,60178125463095+5,67719590720233i</v>
      </c>
      <c r="BJ191" s="68">
        <f t="shared" si="204"/>
        <v>15.9106259218166</v>
      </c>
      <c r="BK191" s="31">
        <f t="shared" si="210"/>
        <v>65.378661008704</v>
      </c>
      <c r="BL191" s="32">
        <f t="shared" si="205"/>
        <v>0.943166871033378</v>
      </c>
      <c r="BM191" s="31">
        <f t="shared" si="206"/>
        <v>61.7673008597757</v>
      </c>
      <c r="BO191">
        <f t="shared" si="207"/>
        <v>0</v>
      </c>
      <c r="BP191">
        <f t="shared" si="208"/>
        <v>0</v>
      </c>
    </row>
    <row r="192" spans="14:68">
      <c r="N192" s="7">
        <v>74</v>
      </c>
      <c r="O192" s="18">
        <f t="shared" si="211"/>
        <v>549.540873857625</v>
      </c>
      <c r="P192" s="86" t="str">
        <f t="shared" si="159"/>
        <v>163,636363636364</v>
      </c>
      <c r="Q192" s="4" t="str">
        <f t="shared" si="160"/>
        <v>1+21,0938792816448i</v>
      </c>
      <c r="R192" s="4">
        <f t="shared" si="171"/>
        <v>21.1175695369662</v>
      </c>
      <c r="S192" s="4">
        <f t="shared" si="172"/>
        <v>1.52342467692802</v>
      </c>
      <c r="T192" s="4" t="str">
        <f t="shared" si="161"/>
        <v>1+0,0541409568228884i</v>
      </c>
      <c r="U192" s="4">
        <f t="shared" si="173"/>
        <v>1.00146454915074</v>
      </c>
      <c r="V192" s="4">
        <f t="shared" si="174"/>
        <v>0.0540881495624304</v>
      </c>
      <c r="W192" t="str">
        <f t="shared" si="162"/>
        <v>1-0,051793007164753i</v>
      </c>
      <c r="X192" s="4">
        <f t="shared" si="175"/>
        <v>1.00134035951377</v>
      </c>
      <c r="Y192" s="4">
        <f t="shared" si="176"/>
        <v>-0.0517467697118379</v>
      </c>
      <c r="Z192" t="str">
        <f t="shared" si="163"/>
        <v>0,999997534733289+0,0107285514841274i</v>
      </c>
      <c r="AA192" s="4">
        <f t="shared" si="177"/>
        <v>1.00005508412767</v>
      </c>
      <c r="AB192" s="4">
        <f t="shared" si="178"/>
        <v>0.0107281663330581</v>
      </c>
      <c r="AC192" s="67" t="str">
        <f t="shared" si="179"/>
        <v>0,302841416656323-7,76424369343076i</v>
      </c>
      <c r="AD192" s="68">
        <f t="shared" si="180"/>
        <v>17.8085853245394</v>
      </c>
      <c r="AE192" s="31">
        <f t="shared" si="181"/>
        <v>-87.7663318631791</v>
      </c>
      <c r="AF192" s="32" t="str">
        <f t="shared" si="182"/>
        <v>748,315388573934</v>
      </c>
      <c r="AG192" s="32" t="str">
        <f t="shared" si="164"/>
        <v>1+17,1876053405995i</v>
      </c>
      <c r="AH192" s="32">
        <f t="shared" si="183"/>
        <v>17.2166714943454</v>
      </c>
      <c r="AI192" s="32">
        <f t="shared" si="184"/>
        <v>1.51268038186765</v>
      </c>
      <c r="AJ192" s="32" t="str">
        <f t="shared" si="165"/>
        <v>1+0,0541409568228884i</v>
      </c>
      <c r="AK192" s="32">
        <f t="shared" si="185"/>
        <v>1.00146454915074</v>
      </c>
      <c r="AL192" s="32">
        <f t="shared" si="186"/>
        <v>0.0540881495624304</v>
      </c>
      <c r="AM192" s="32" t="str">
        <f t="shared" si="166"/>
        <v>1-0,00922817561148731i</v>
      </c>
      <c r="AN192" s="32">
        <f t="shared" si="187"/>
        <v>1.00004257870609</v>
      </c>
      <c r="AO192" s="32">
        <f t="shared" si="188"/>
        <v>-0.00922791367010978</v>
      </c>
      <c r="AP192" s="30" t="str">
        <f t="shared" si="189"/>
        <v>4,47464426206639-43,2994942918295i</v>
      </c>
      <c r="AQ192" s="32">
        <f t="shared" si="190"/>
        <v>32.7757910993824</v>
      </c>
      <c r="AR192" s="31">
        <f t="shared" si="191"/>
        <v>-84.0998994486626</v>
      </c>
      <c r="AS192" t="str">
        <f t="shared" si="167"/>
        <v>-0,0000504684572142411</v>
      </c>
      <c r="AT192" t="str">
        <f t="shared" si="168"/>
        <v>0,000775859247327998i</v>
      </c>
      <c r="AU192">
        <f t="shared" si="192"/>
        <v>0.000775859247327998</v>
      </c>
      <c r="AV192">
        <f t="shared" si="193"/>
        <v>1.5707963267949</v>
      </c>
      <c r="AW192" t="str">
        <f t="shared" si="169"/>
        <v>1+0,0397225703963466i</v>
      </c>
      <c r="AX192">
        <f t="shared" si="194"/>
        <v>1.00078863033055</v>
      </c>
      <c r="AY192">
        <f t="shared" si="195"/>
        <v>0.0397016976361079</v>
      </c>
      <c r="AZ192" t="str">
        <f t="shared" si="170"/>
        <v>1+1,89907692937427i</v>
      </c>
      <c r="BA192">
        <f t="shared" si="196"/>
        <v>2.14627425639912</v>
      </c>
      <c r="BB192">
        <f t="shared" si="197"/>
        <v>1.0861180893151</v>
      </c>
      <c r="BC192" s="30" t="str">
        <f t="shared" si="198"/>
        <v>-0,120757615474853+0,0698452731911911i</v>
      </c>
      <c r="BD192" s="32">
        <f t="shared" si="199"/>
        <v>-17.1084011661817</v>
      </c>
      <c r="BE192" s="31">
        <f t="shared" si="200"/>
        <v>149.955242856515</v>
      </c>
      <c r="BF192" s="30" t="str">
        <f t="shared" si="201"/>
        <v>0,50572531454821+0,958743595864332i</v>
      </c>
      <c r="BG192" s="68">
        <f t="shared" si="202"/>
        <v>0.700184158357782</v>
      </c>
      <c r="BH192" s="31">
        <f t="shared" si="203"/>
        <v>62.1889109933359</v>
      </c>
      <c r="BI192" s="30" t="str">
        <f t="shared" si="209"/>
        <v>2,48391763666788+5,54127643286576i</v>
      </c>
      <c r="BJ192" s="68">
        <f t="shared" si="204"/>
        <v>15.6673899332007</v>
      </c>
      <c r="BK192" s="31">
        <f t="shared" si="210"/>
        <v>65.8553434078523</v>
      </c>
      <c r="BL192" s="32">
        <f t="shared" si="205"/>
        <v>0.700184158357782</v>
      </c>
      <c r="BM192" s="31">
        <f t="shared" si="206"/>
        <v>62.1889109933359</v>
      </c>
      <c r="BO192">
        <f t="shared" si="207"/>
        <v>0</v>
      </c>
      <c r="BP192">
        <f t="shared" si="208"/>
        <v>0</v>
      </c>
    </row>
    <row r="193" spans="14:68">
      <c r="N193" s="7">
        <v>75</v>
      </c>
      <c r="O193" s="18">
        <f t="shared" si="211"/>
        <v>562.341325190349</v>
      </c>
      <c r="P193" s="86" t="str">
        <f t="shared" si="159"/>
        <v>163,636363636364</v>
      </c>
      <c r="Q193" s="4" t="str">
        <f t="shared" si="160"/>
        <v>1+21,5852188489233i</v>
      </c>
      <c r="R193" s="4">
        <f t="shared" si="171"/>
        <v>21.6083704326799</v>
      </c>
      <c r="S193" s="4">
        <f t="shared" si="172"/>
        <v>1.52450142939051</v>
      </c>
      <c r="T193" s="4" t="str">
        <f t="shared" si="161"/>
        <v>1+0,0554020617122365i</v>
      </c>
      <c r="U193" s="4">
        <f t="shared" si="173"/>
        <v>1.00153351838167</v>
      </c>
      <c r="V193" s="4">
        <f t="shared" si="174"/>
        <v>0.0553454823914633</v>
      </c>
      <c r="W193" t="str">
        <f t="shared" si="162"/>
        <v>1-0,0529994212808386i</v>
      </c>
      <c r="X193" s="4">
        <f t="shared" si="175"/>
        <v>1.00140348444376</v>
      </c>
      <c r="Y193" s="4">
        <f t="shared" si="176"/>
        <v>-0.0529498807068714</v>
      </c>
      <c r="Z193" t="str">
        <f t="shared" si="163"/>
        <v>0,999997418548849+0,0109784515510308i</v>
      </c>
      <c r="AA193" s="4">
        <f t="shared" si="177"/>
        <v>1.00005768008791</v>
      </c>
      <c r="AB193" s="4">
        <f t="shared" si="178"/>
        <v>0.0109780388555095</v>
      </c>
      <c r="AC193" s="67" t="str">
        <f t="shared" si="179"/>
        <v>0,286344770980054-7,58924257376882i</v>
      </c>
      <c r="AD193" s="68">
        <f t="shared" si="180"/>
        <v>17.6101468162736</v>
      </c>
      <c r="AE193" s="31">
        <f t="shared" si="181"/>
        <v>-87.8392351935673</v>
      </c>
      <c r="AF193" s="32" t="str">
        <f t="shared" si="182"/>
        <v>748,315388573934</v>
      </c>
      <c r="AG193" s="32" t="str">
        <f t="shared" si="164"/>
        <v>1+17,5879560991227i</v>
      </c>
      <c r="AH193" s="32">
        <f t="shared" si="183"/>
        <v>17.6163617056607</v>
      </c>
      <c r="AI193" s="32">
        <f t="shared" si="184"/>
        <v>1.51400038624095</v>
      </c>
      <c r="AJ193" s="32" t="str">
        <f t="shared" si="165"/>
        <v>1+0,0554020617122365i</v>
      </c>
      <c r="AK193" s="32">
        <f t="shared" si="185"/>
        <v>1.00153351838167</v>
      </c>
      <c r="AL193" s="32">
        <f t="shared" si="186"/>
        <v>0.0553454823914633</v>
      </c>
      <c r="AM193" s="32" t="str">
        <f t="shared" si="166"/>
        <v>1-0,00944312743477112i</v>
      </c>
      <c r="AN193" s="32">
        <f t="shared" si="187"/>
        <v>1.00004458533395</v>
      </c>
      <c r="AO193" s="32">
        <f t="shared" si="188"/>
        <v>-0.00944284676020408</v>
      </c>
      <c r="AP193" s="30" t="str">
        <f t="shared" si="189"/>
        <v>4,3616824667961-42,3213019820377i</v>
      </c>
      <c r="AQ193" s="32">
        <f t="shared" si="190"/>
        <v>32.5770661724533</v>
      </c>
      <c r="AR193" s="31">
        <f t="shared" si="191"/>
        <v>-84.1158050225851</v>
      </c>
      <c r="AS193" t="str">
        <f t="shared" si="167"/>
        <v>-0,0000504684572142411</v>
      </c>
      <c r="AT193" t="str">
        <f t="shared" si="168"/>
        <v>0,000793931330786961i</v>
      </c>
      <c r="AU193">
        <f t="shared" si="192"/>
        <v>0.000793931330786961</v>
      </c>
      <c r="AV193">
        <f t="shared" si="193"/>
        <v>1.5707963267949</v>
      </c>
      <c r="AW193" t="str">
        <f t="shared" si="169"/>
        <v>1+0,0406478279219604i</v>
      </c>
      <c r="AX193">
        <f t="shared" si="194"/>
        <v>1.00082578199943</v>
      </c>
      <c r="AY193">
        <f t="shared" si="195"/>
        <v>0.0406254633529619</v>
      </c>
      <c r="AZ193" t="str">
        <f t="shared" si="170"/>
        <v>1+1,94331211363074i</v>
      </c>
      <c r="BA193">
        <f t="shared" si="196"/>
        <v>2.18551183272568</v>
      </c>
      <c r="BB193">
        <f t="shared" si="197"/>
        <v>1.0955486149369</v>
      </c>
      <c r="BC193" s="30" t="str">
        <f t="shared" si="198"/>
        <v>-0,120748650350737+0,0684759567140421i</v>
      </c>
      <c r="BD193" s="32">
        <f t="shared" si="199"/>
        <v>-17.1513646863612</v>
      </c>
      <c r="BE193" s="31">
        <f t="shared" si="200"/>
        <v>150.442644296399</v>
      </c>
      <c r="BF193" s="30" t="str">
        <f t="shared" si="201"/>
        <v>0,485104901342927+0,935998530109861i</v>
      </c>
      <c r="BG193" s="68">
        <f t="shared" si="202"/>
        <v>0.458782129912431</v>
      </c>
      <c r="BH193" s="31">
        <f t="shared" si="203"/>
        <v>62.6034091028316</v>
      </c>
      <c r="BI193" s="30" t="str">
        <f t="shared" si="209"/>
        <v>2,37132437147982+5,40891047521375i</v>
      </c>
      <c r="BJ193" s="68">
        <f t="shared" si="204"/>
        <v>15.4257014860921</v>
      </c>
      <c r="BK193" s="31">
        <f t="shared" si="210"/>
        <v>66.3268392738138</v>
      </c>
      <c r="BL193" s="32">
        <f t="shared" si="205"/>
        <v>0.458782129912431</v>
      </c>
      <c r="BM193" s="31">
        <f t="shared" si="206"/>
        <v>62.6034091028316</v>
      </c>
      <c r="BO193">
        <f t="shared" si="207"/>
        <v>0</v>
      </c>
      <c r="BP193">
        <f t="shared" si="208"/>
        <v>0</v>
      </c>
    </row>
    <row r="194" spans="14:68">
      <c r="N194" s="7">
        <v>76</v>
      </c>
      <c r="O194" s="18">
        <f t="shared" si="211"/>
        <v>575.439937337157</v>
      </c>
      <c r="P194" s="86" t="str">
        <f t="shared" si="159"/>
        <v>163,636363636364</v>
      </c>
      <c r="Q194" s="4" t="str">
        <f t="shared" si="160"/>
        <v>1+22,0880031849497i</v>
      </c>
      <c r="R194" s="4">
        <f t="shared" si="171"/>
        <v>22.1106283198454</v>
      </c>
      <c r="S194" s="4">
        <f t="shared" si="172"/>
        <v>1.52555377578799</v>
      </c>
      <c r="T194" s="4" t="str">
        <f t="shared" si="161"/>
        <v>1+0,0566925415080376i</v>
      </c>
      <c r="U194" s="4">
        <f t="shared" si="173"/>
        <v>1.00160573294218</v>
      </c>
      <c r="V194" s="4">
        <f t="shared" si="174"/>
        <v>0.0566319209215935</v>
      </c>
      <c r="W194" t="str">
        <f t="shared" si="162"/>
        <v>1-0,0542339363916176i</v>
      </c>
      <c r="X194" s="4">
        <f t="shared" si="175"/>
        <v>1.00146958009544</v>
      </c>
      <c r="Y194" s="4">
        <f t="shared" si="176"/>
        <v>-0.0541808569164027</v>
      </c>
      <c r="Z194" t="str">
        <f t="shared" si="163"/>
        <v>0,999997296888804+0,0112341725382636i</v>
      </c>
      <c r="AA194" s="4">
        <f t="shared" si="177"/>
        <v>1.00006039838478</v>
      </c>
      <c r="AB194" s="4">
        <f t="shared" si="178"/>
        <v>0.011233730328487</v>
      </c>
      <c r="AC194" s="67" t="str">
        <f t="shared" si="179"/>
        <v>0,270586507033295-7,41819673266626i</v>
      </c>
      <c r="AD194" s="68">
        <f t="shared" si="180"/>
        <v>17.4117413919346</v>
      </c>
      <c r="AE194" s="31">
        <f t="shared" si="181"/>
        <v>-87.9110024860957</v>
      </c>
      <c r="AF194" s="32" t="str">
        <f t="shared" si="182"/>
        <v>748,315388573934</v>
      </c>
      <c r="AG194" s="32" t="str">
        <f t="shared" si="164"/>
        <v>1+17,9976322247738i</v>
      </c>
      <c r="AH194" s="32">
        <f t="shared" si="183"/>
        <v>18.0253922481098</v>
      </c>
      <c r="AI194" s="32">
        <f t="shared" si="184"/>
        <v>1.51529053513142</v>
      </c>
      <c r="AJ194" s="32" t="str">
        <f t="shared" si="165"/>
        <v>1+0,0566925415080376i</v>
      </c>
      <c r="AK194" s="32">
        <f t="shared" si="185"/>
        <v>1.00160573294218</v>
      </c>
      <c r="AL194" s="32">
        <f t="shared" si="186"/>
        <v>0.0566319209215935</v>
      </c>
      <c r="AM194" s="32" t="str">
        <f t="shared" si="166"/>
        <v>1-0,00966308612921543i</v>
      </c>
      <c r="AN194" s="32">
        <f t="shared" si="187"/>
        <v>1.00004668652695</v>
      </c>
      <c r="AO194" s="32">
        <f t="shared" si="188"/>
        <v>-0.00966278538175666</v>
      </c>
      <c r="AP194" s="30" t="str">
        <f t="shared" si="189"/>
        <v>4,25377275727407-41,364972476957i</v>
      </c>
      <c r="AQ194" s="32">
        <f t="shared" si="190"/>
        <v>32.37834058099</v>
      </c>
      <c r="AR194" s="31">
        <f t="shared" si="191"/>
        <v>-84.1286191653396</v>
      </c>
      <c r="AS194" t="str">
        <f t="shared" si="167"/>
        <v>-0,0000504684572142411</v>
      </c>
      <c r="AT194" t="str">
        <f t="shared" si="168"/>
        <v>0,00081242436714643i</v>
      </c>
      <c r="AU194">
        <f t="shared" si="192"/>
        <v>0.00081242436714643</v>
      </c>
      <c r="AV194">
        <f t="shared" si="193"/>
        <v>1.5707963267949</v>
      </c>
      <c r="AW194" t="str">
        <f t="shared" si="169"/>
        <v>1+0,0415946374639761i</v>
      </c>
      <c r="AX194">
        <f t="shared" si="194"/>
        <v>1.00086468309445</v>
      </c>
      <c r="AY194">
        <f t="shared" si="195"/>
        <v>0.041570674514568</v>
      </c>
      <c r="AZ194" t="str">
        <f t="shared" si="170"/>
        <v>1+1,98857766769264i</v>
      </c>
      <c r="BA194">
        <f t="shared" si="196"/>
        <v>2.22585739445408</v>
      </c>
      <c r="BB194">
        <f t="shared" si="197"/>
        <v>1.10485376988014</v>
      </c>
      <c r="BC194" s="30" t="str">
        <f t="shared" si="198"/>
        <v>-0,120739264139964+0,0671429127972689i</v>
      </c>
      <c r="BD194" s="32">
        <f t="shared" si="199"/>
        <v>-17.1928188022232</v>
      </c>
      <c r="BE194" s="31">
        <f t="shared" si="200"/>
        <v>150.921633792053</v>
      </c>
      <c r="BF194" s="30" t="str">
        <f t="shared" si="201"/>
        <v>0,465408920588993+0,913835580993464i</v>
      </c>
      <c r="BG194" s="68">
        <f t="shared" si="202"/>
        <v>0.218922589711378</v>
      </c>
      <c r="BH194" s="31">
        <f t="shared" si="203"/>
        <v>63.0106313059578</v>
      </c>
      <c r="BI194" s="30" t="str">
        <f t="shared" si="209"/>
        <v>2,26376734734986+5,2799870313387i</v>
      </c>
      <c r="BJ194" s="68">
        <f t="shared" si="204"/>
        <v>15.1855217787668</v>
      </c>
      <c r="BK194" s="31">
        <f t="shared" si="210"/>
        <v>66.7930146267138</v>
      </c>
      <c r="BL194" s="32">
        <f t="shared" si="205"/>
        <v>0.218922589711378</v>
      </c>
      <c r="BM194" s="31">
        <f t="shared" si="206"/>
        <v>63.0106313059578</v>
      </c>
      <c r="BO194">
        <f t="shared" si="207"/>
        <v>575.439937337157</v>
      </c>
      <c r="BP194">
        <f t="shared" si="208"/>
        <v>63.0106313059578</v>
      </c>
    </row>
    <row r="195" spans="14:68">
      <c r="N195" s="7">
        <v>77</v>
      </c>
      <c r="O195" s="18">
        <f t="shared" si="211"/>
        <v>588.84365535559</v>
      </c>
      <c r="P195" s="86" t="str">
        <f t="shared" si="159"/>
        <v>163,636363636364</v>
      </c>
      <c r="Q195" s="4" t="str">
        <f t="shared" si="160"/>
        <v>1+22,602498872634i</v>
      </c>
      <c r="R195" s="4">
        <f t="shared" si="171"/>
        <v>22.6246095057444</v>
      </c>
      <c r="S195" s="4">
        <f t="shared" si="172"/>
        <v>1.52658226475993</v>
      </c>
      <c r="T195" s="4" t="str">
        <f t="shared" si="161"/>
        <v>1+0,0580130804397606i</v>
      </c>
      <c r="U195" s="4">
        <f t="shared" si="173"/>
        <v>1.00168134529006</v>
      </c>
      <c r="V195" s="4">
        <f t="shared" si="174"/>
        <v>0.0579481301982487</v>
      </c>
      <c r="W195" t="str">
        <f t="shared" si="162"/>
        <v>1-0,0554972070533425i</v>
      </c>
      <c r="X195" s="4">
        <f t="shared" si="175"/>
        <v>1.00153878606409</v>
      </c>
      <c r="Y195" s="4">
        <f t="shared" si="176"/>
        <v>-0.0554403360894424</v>
      </c>
      <c r="Z195" t="str">
        <f t="shared" si="163"/>
        <v>0,999997169495098+0,0114958500324781i</v>
      </c>
      <c r="AA195" s="4">
        <f t="shared" si="177"/>
        <v>1.00006324478314</v>
      </c>
      <c r="AB195" s="4">
        <f t="shared" si="178"/>
        <v>0.0114953761977831</v>
      </c>
      <c r="AC195" s="67" t="str">
        <f t="shared" si="179"/>
        <v>0,255533618433328-7,2510200406353i</v>
      </c>
      <c r="AD195" s="68">
        <f t="shared" si="180"/>
        <v>17.2133724053662</v>
      </c>
      <c r="AE195" s="31">
        <f t="shared" si="181"/>
        <v>-87.9816713719926</v>
      </c>
      <c r="AF195" s="32" t="str">
        <f t="shared" si="182"/>
        <v>748,315388573934</v>
      </c>
      <c r="AG195" s="32" t="str">
        <f t="shared" si="164"/>
        <v>1+18,4168509332573i</v>
      </c>
      <c r="AH195" s="32">
        <f t="shared" si="183"/>
        <v>18.4439800015566</v>
      </c>
      <c r="AI195" s="32">
        <f t="shared" si="184"/>
        <v>1.51655149540387</v>
      </c>
      <c r="AJ195" s="32" t="str">
        <f t="shared" si="165"/>
        <v>1+0,0580130804397606i</v>
      </c>
      <c r="AK195" s="32">
        <f t="shared" si="185"/>
        <v>1.00168134529006</v>
      </c>
      <c r="AL195" s="32">
        <f t="shared" si="186"/>
        <v>0.0579481301982487</v>
      </c>
      <c r="AM195" s="32" t="str">
        <f t="shared" si="166"/>
        <v>1-0,0098881683198315i</v>
      </c>
      <c r="AN195" s="32">
        <f t="shared" si="187"/>
        <v>1.0000488867414</v>
      </c>
      <c r="AO195" s="32">
        <f t="shared" si="188"/>
        <v>-0.00988784606397424</v>
      </c>
      <c r="AP195" s="30" t="str">
        <f t="shared" si="189"/>
        <v>4,15069055797832-40,4300369632541i</v>
      </c>
      <c r="AQ195" s="32">
        <f t="shared" si="190"/>
        <v>32.179617003101</v>
      </c>
      <c r="AR195" s="31">
        <f t="shared" si="191"/>
        <v>-84.1383486578021</v>
      </c>
      <c r="AS195" t="str">
        <f t="shared" si="167"/>
        <v>-0,0000504684572142411</v>
      </c>
      <c r="AT195" t="str">
        <f t="shared" si="168"/>
        <v>0,00083134816165907i</v>
      </c>
      <c r="AU195">
        <f t="shared" si="192"/>
        <v>0.00083134816165907</v>
      </c>
      <c r="AV195">
        <f t="shared" si="193"/>
        <v>1.5707963267949</v>
      </c>
      <c r="AW195" t="str">
        <f t="shared" si="169"/>
        <v>1+0,0425635010333452i</v>
      </c>
      <c r="AX195">
        <f t="shared" si="194"/>
        <v>1.00090541592111</v>
      </c>
      <c r="AY195">
        <f t="shared" si="195"/>
        <v>0.0425378255247484</v>
      </c>
      <c r="AZ195" t="str">
        <f t="shared" si="170"/>
        <v>1+2,03489759195589i</v>
      </c>
      <c r="BA195">
        <f t="shared" si="196"/>
        <v>2.26733504576361</v>
      </c>
      <c r="BB195">
        <f t="shared" si="197"/>
        <v>1.1140320413875</v>
      </c>
      <c r="BC195" s="30" t="str">
        <f t="shared" si="198"/>
        <v>-0,120729437134602+0,06584543219893i</v>
      </c>
      <c r="BD195" s="32">
        <f t="shared" si="199"/>
        <v>-17.2328050054444</v>
      </c>
      <c r="BE195" s="31">
        <f t="shared" si="200"/>
        <v>151.392096341615</v>
      </c>
      <c r="BF195" s="30" t="str">
        <f t="shared" si="201"/>
        <v>0,44659611853631+0,892237289704718i</v>
      </c>
      <c r="BG195" s="68">
        <f t="shared" si="202"/>
        <v>-0.0194326000782219</v>
      </c>
      <c r="BH195" s="31">
        <f t="shared" si="203"/>
        <v>63.4104249696228</v>
      </c>
      <c r="BI195" s="30" t="str">
        <f t="shared" si="209"/>
        <v>2,16102272287955+5,15439961961892i</v>
      </c>
      <c r="BJ195" s="68">
        <f t="shared" si="204"/>
        <v>14.9468119976566</v>
      </c>
      <c r="BK195" s="31">
        <f t="shared" si="210"/>
        <v>67.2537476838132</v>
      </c>
      <c r="BL195" s="32">
        <f t="shared" si="205"/>
        <v>-0.0194326000782219</v>
      </c>
      <c r="BM195" s="31">
        <f t="shared" si="206"/>
        <v>63.4104249696228</v>
      </c>
      <c r="BO195">
        <f t="shared" si="207"/>
        <v>0</v>
      </c>
      <c r="BP195">
        <f t="shared" si="208"/>
        <v>0</v>
      </c>
    </row>
    <row r="196" spans="14:68">
      <c r="N196" s="7">
        <v>78</v>
      </c>
      <c r="O196" s="18">
        <f t="shared" si="211"/>
        <v>602.559586074358</v>
      </c>
      <c r="P196" s="86" t="str">
        <f t="shared" si="159"/>
        <v>163,636363636364</v>
      </c>
      <c r="Q196" s="4" t="str">
        <f t="shared" si="160"/>
        <v>1+23,1289787044i</v>
      </c>
      <c r="R196" s="4">
        <f t="shared" si="171"/>
        <v>23.1505865132741</v>
      </c>
      <c r="S196" s="4">
        <f t="shared" si="172"/>
        <v>1.52758743291643</v>
      </c>
      <c r="T196" s="4" t="str">
        <f t="shared" si="161"/>
        <v>1+0,0593643786746267i</v>
      </c>
      <c r="U196" s="4">
        <f t="shared" si="173"/>
        <v>1.00176051502114</v>
      </c>
      <c r="V196" s="4">
        <f t="shared" si="174"/>
        <v>0.0592947898410081</v>
      </c>
      <c r="W196" t="str">
        <f t="shared" si="162"/>
        <v>1-0,0567899030688394i</v>
      </c>
      <c r="X196" s="4">
        <f t="shared" si="175"/>
        <v>1.00161124848444</v>
      </c>
      <c r="Y196" s="4">
        <f t="shared" si="176"/>
        <v>-0.0567289700262921</v>
      </c>
      <c r="Z196" t="str">
        <f t="shared" si="163"/>
        <v>0,999997036097512+0,0117636227785453i</v>
      </c>
      <c r="AA196" s="4">
        <f t="shared" si="177"/>
        <v>1.00006622531945</v>
      </c>
      <c r="AB196" s="4">
        <f t="shared" si="178"/>
        <v>0.011763115057337</v>
      </c>
      <c r="AC196" s="67" t="str">
        <f t="shared" si="179"/>
        <v>0,241154558272269-7,08762811711898i</v>
      </c>
      <c r="AD196" s="68">
        <f t="shared" si="180"/>
        <v>17.0150432859914</v>
      </c>
      <c r="AE196" s="31">
        <f t="shared" si="181"/>
        <v>-88.0512789436732</v>
      </c>
      <c r="AF196" s="32" t="str">
        <f t="shared" si="182"/>
        <v>748,315388573934</v>
      </c>
      <c r="AG196" s="32" t="str">
        <f t="shared" si="164"/>
        <v>1+18,8458344998815i</v>
      </c>
      <c r="AH196" s="32">
        <f t="shared" si="183"/>
        <v>18.8723469127961</v>
      </c>
      <c r="AI196" s="32">
        <f t="shared" si="184"/>
        <v>1.51778391958744</v>
      </c>
      <c r="AJ196" s="32" t="str">
        <f t="shared" si="165"/>
        <v>1+0,0593643786746267i</v>
      </c>
      <c r="AK196" s="32">
        <f t="shared" si="185"/>
        <v>1.00176051502114</v>
      </c>
      <c r="AL196" s="32">
        <f t="shared" si="186"/>
        <v>0.0592947898410081</v>
      </c>
      <c r="AM196" s="32" t="str">
        <f t="shared" si="166"/>
        <v>1-0,0101184933481761i</v>
      </c>
      <c r="AN196" s="32">
        <f t="shared" si="187"/>
        <v>1.00005119064358</v>
      </c>
      <c r="AO196" s="32">
        <f t="shared" si="188"/>
        <v>-0.0101181480457584</v>
      </c>
      <c r="AP196" s="30" t="str">
        <f t="shared" si="189"/>
        <v>4,05222115570645-39,516035443632i</v>
      </c>
      <c r="AQ196" s="32">
        <f t="shared" si="190"/>
        <v>31.9808981210729</v>
      </c>
      <c r="AR196" s="31">
        <f t="shared" si="191"/>
        <v>-84.1449987796892</v>
      </c>
      <c r="AS196" t="str">
        <f t="shared" si="167"/>
        <v>-0,0000504684572142411</v>
      </c>
      <c r="AT196" t="str">
        <f t="shared" si="168"/>
        <v>0,000850712747971213i</v>
      </c>
      <c r="AU196">
        <f t="shared" si="192"/>
        <v>0.000850712747971213</v>
      </c>
      <c r="AV196">
        <f t="shared" si="193"/>
        <v>1.5707963267949</v>
      </c>
      <c r="AW196" t="str">
        <f t="shared" si="169"/>
        <v>1+0,0435549323343568i</v>
      </c>
      <c r="AX196">
        <f t="shared" si="194"/>
        <v>1.00094806665014</v>
      </c>
      <c r="AY196">
        <f t="shared" si="195"/>
        <v>0.0435274219384088</v>
      </c>
      <c r="AZ196" t="str">
        <f t="shared" si="170"/>
        <v>1+2,08229644585744i</v>
      </c>
      <c r="BA196">
        <f t="shared" si="196"/>
        <v>2.30996936958708</v>
      </c>
      <c r="BB196">
        <f t="shared" si="197"/>
        <v>1.1230821094832</v>
      </c>
      <c r="BC196" s="30" t="str">
        <f t="shared" si="198"/>
        <v>-0,120719148711104+0,0645828243594462i</v>
      </c>
      <c r="BD196" s="32">
        <f t="shared" si="199"/>
        <v>-17.2713647167405</v>
      </c>
      <c r="BE196" s="31">
        <f t="shared" si="200"/>
        <v>151.853927349881</v>
      </c>
      <c r="BF196" s="30" t="str">
        <f t="shared" si="201"/>
        <v>0,428627068830537+0,871186875159866i</v>
      </c>
      <c r="BG196" s="68">
        <f t="shared" si="202"/>
        <v>-0.256321430749106</v>
      </c>
      <c r="BH196" s="31">
        <f t="shared" si="203"/>
        <v>63.8026484062078</v>
      </c>
      <c r="BI196" s="30" t="str">
        <f t="shared" si="209"/>
        <v>2,06287648813173+5,03204604635769i</v>
      </c>
      <c r="BJ196" s="68">
        <f t="shared" si="204"/>
        <v>14.7095334043324</v>
      </c>
      <c r="BK196" s="31">
        <f t="shared" si="210"/>
        <v>67.7089285701917</v>
      </c>
      <c r="BL196" s="32">
        <f t="shared" si="205"/>
        <v>-0.256321430749106</v>
      </c>
      <c r="BM196" s="31">
        <f t="shared" si="206"/>
        <v>63.8026484062078</v>
      </c>
      <c r="BO196">
        <f t="shared" si="207"/>
        <v>0</v>
      </c>
      <c r="BP196">
        <f t="shared" si="208"/>
        <v>0</v>
      </c>
    </row>
    <row r="197" spans="14:68">
      <c r="N197" s="7">
        <v>79</v>
      </c>
      <c r="O197" s="18">
        <f t="shared" si="211"/>
        <v>616.595001861483</v>
      </c>
      <c r="P197" s="86" t="str">
        <f t="shared" si="159"/>
        <v>163,636363636364</v>
      </c>
      <c r="Q197" s="4" t="str">
        <f t="shared" si="160"/>
        <v>1+23,6677218268234i</v>
      </c>
      <c r="R197" s="4">
        <f t="shared" si="171"/>
        <v>23.6888382254574</v>
      </c>
      <c r="S197" s="4">
        <f t="shared" si="172"/>
        <v>1.52856980508166</v>
      </c>
      <c r="T197" s="4" t="str">
        <f t="shared" si="161"/>
        <v>1+0,0607471526888466i</v>
      </c>
      <c r="U197" s="4">
        <f t="shared" si="173"/>
        <v>1.00184340920116</v>
      </c>
      <c r="V197" s="4">
        <f t="shared" si="174"/>
        <v>0.0606725943183385</v>
      </c>
      <c r="W197" t="str">
        <f t="shared" si="162"/>
        <v>1-0,0581127098426467i</v>
      </c>
      <c r="X197" s="4">
        <f t="shared" si="175"/>
        <v>1.00168712033512</v>
      </c>
      <c r="Y197" s="4">
        <f t="shared" si="176"/>
        <v>-0.0580474248490183</v>
      </c>
      <c r="Z197" t="str">
        <f t="shared" si="163"/>
        <v>0,999996896413091+0,0120376327531197i</v>
      </c>
      <c r="AA197" s="4">
        <f t="shared" si="177"/>
        <v>1.0000693463146</v>
      </c>
      <c r="AB197" s="4">
        <f t="shared" si="178"/>
        <v>0.0120370887220797</v>
      </c>
      <c r="AC197" s="67" t="str">
        <f t="shared" si="179"/>
        <v>0,227419175414637-6,92793830571995i</v>
      </c>
      <c r="AD197" s="68">
        <f t="shared" si="180"/>
        <v>16.8167575458334</v>
      </c>
      <c r="AE197" s="31">
        <f t="shared" si="181"/>
        <v>-88.1198617726148</v>
      </c>
      <c r="AF197" s="32" t="str">
        <f t="shared" si="182"/>
        <v>748,315388573934</v>
      </c>
      <c r="AG197" s="32" t="str">
        <f t="shared" si="164"/>
        <v>1+19,2848103774116i</v>
      </c>
      <c r="AH197" s="32">
        <f t="shared" si="183"/>
        <v>19.3107201132615</v>
      </c>
      <c r="AI197" s="32">
        <f t="shared" si="184"/>
        <v>1.5189884461461</v>
      </c>
      <c r="AJ197" s="32" t="str">
        <f t="shared" si="165"/>
        <v>1+0,0607471526888466i</v>
      </c>
      <c r="AK197" s="32">
        <f t="shared" si="185"/>
        <v>1.00184340920116</v>
      </c>
      <c r="AL197" s="32">
        <f t="shared" si="186"/>
        <v>0.0606725943183385</v>
      </c>
      <c r="AM197" s="32" t="str">
        <f t="shared" si="166"/>
        <v>1-0,0103541833356281i</v>
      </c>
      <c r="AN197" s="32">
        <f t="shared" si="187"/>
        <v>1.00005360311963</v>
      </c>
      <c r="AO197" s="32">
        <f t="shared" si="188"/>
        <v>-0.0103538133384925</v>
      </c>
      <c r="AP197" s="30" t="str">
        <f t="shared" si="189"/>
        <v>3,95815927706702-38,622516658882i</v>
      </c>
      <c r="AQ197" s="32">
        <f t="shared" si="190"/>
        <v>31.7821866268484</v>
      </c>
      <c r="AR197" s="31">
        <f t="shared" si="191"/>
        <v>-84.1485733129184</v>
      </c>
      <c r="AS197" t="str">
        <f t="shared" si="167"/>
        <v>-0,0000504684572142411</v>
      </c>
      <c r="AT197" t="str">
        <f t="shared" si="168"/>
        <v>0,000870528393442846i</v>
      </c>
      <c r="AU197">
        <f t="shared" si="192"/>
        <v>0.000870528393442846</v>
      </c>
      <c r="AV197">
        <f t="shared" si="193"/>
        <v>1.5707963267949</v>
      </c>
      <c r="AW197" t="str">
        <f t="shared" si="169"/>
        <v>1+0,0445694570370098i</v>
      </c>
      <c r="AX197">
        <f t="shared" si="194"/>
        <v>1.00099272549833</v>
      </c>
      <c r="AY197">
        <f t="shared" si="195"/>
        <v>0.0445399806953478</v>
      </c>
      <c r="AZ197" t="str">
        <f t="shared" si="170"/>
        <v>1+2,13079936089704i</v>
      </c>
      <c r="BA197">
        <f t="shared" si="196"/>
        <v>2.35378544400275</v>
      </c>
      <c r="BB197">
        <f t="shared" si="197"/>
        <v>1.1320028417811</v>
      </c>
      <c r="BC197" s="30" t="str">
        <f t="shared" si="198"/>
        <v>-0,120708377288423+0,0633544170231567i</v>
      </c>
      <c r="BD197" s="32">
        <f t="shared" si="199"/>
        <v>-17.3085392092057</v>
      </c>
      <c r="BE197" s="31">
        <f t="shared" si="200"/>
        <v>152.307032317435</v>
      </c>
      <c r="BF197" s="30" t="str">
        <f t="shared" si="201"/>
        <v>0,411464092902711+0,850668200116043i</v>
      </c>
      <c r="BG197" s="68">
        <f t="shared" si="202"/>
        <v>-0.491781663372301</v>
      </c>
      <c r="BH197" s="31">
        <f t="shared" si="203"/>
        <v>64.1871705448197</v>
      </c>
      <c r="BI197" s="30" t="str">
        <f t="shared" si="209"/>
        <v>1,96912404350675+4,91282818617211i</v>
      </c>
      <c r="BJ197" s="68">
        <f t="shared" si="204"/>
        <v>14.4736474176426</v>
      </c>
      <c r="BK197" s="31">
        <f t="shared" si="210"/>
        <v>68.1584590045161</v>
      </c>
      <c r="BL197" s="32">
        <f t="shared" si="205"/>
        <v>-0.491781663372301</v>
      </c>
      <c r="BM197" s="31">
        <f t="shared" si="206"/>
        <v>64.1871705448197</v>
      </c>
      <c r="BO197">
        <f t="shared" si="207"/>
        <v>0</v>
      </c>
      <c r="BP197">
        <f t="shared" si="208"/>
        <v>0</v>
      </c>
    </row>
    <row r="198" spans="14:68">
      <c r="N198" s="7">
        <v>80</v>
      </c>
      <c r="O198" s="18">
        <f t="shared" si="211"/>
        <v>630.957344480193</v>
      </c>
      <c r="P198" s="86" t="str">
        <f t="shared" si="159"/>
        <v>163,636363636364</v>
      </c>
      <c r="Q198" s="4" t="str">
        <f t="shared" si="160"/>
        <v>1+24,2190138886386i</v>
      </c>
      <c r="R198" s="4">
        <f t="shared" si="171"/>
        <v>24.2396500333249</v>
      </c>
      <c r="S198" s="4">
        <f t="shared" si="172"/>
        <v>1.52952989453366</v>
      </c>
      <c r="T198" s="4" t="str">
        <f t="shared" si="161"/>
        <v>1+0,0621621356475056i</v>
      </c>
      <c r="U198" s="4">
        <f t="shared" si="173"/>
        <v>1.00193020271287</v>
      </c>
      <c r="V198" s="4">
        <f t="shared" si="174"/>
        <v>0.0620822532242008</v>
      </c>
      <c r="W198" t="str">
        <f t="shared" si="162"/>
        <v>1-0,0594663287444251i</v>
      </c>
      <c r="X198" s="4">
        <f t="shared" si="175"/>
        <v>1.00176656175695</v>
      </c>
      <c r="Y198" s="4">
        <f t="shared" si="176"/>
        <v>-0.0593963812742415</v>
      </c>
      <c r="Z198" t="str">
        <f t="shared" si="163"/>
        <v>0,999996750145546+0,0123180252399166i</v>
      </c>
      <c r="AA198" s="4">
        <f t="shared" si="177"/>
        <v>1.00007261438731</v>
      </c>
      <c r="AB198" s="4">
        <f t="shared" si="178"/>
        <v>0.0123174423024395</v>
      </c>
      <c r="AC198" s="67" t="str">
        <f t="shared" si="179"/>
        <v>0,214298653475271-6,77186964903339i</v>
      </c>
      <c r="AD198" s="68">
        <f t="shared" si="180"/>
        <v>16.6185187866953</v>
      </c>
      <c r="AE198" s="31">
        <f t="shared" si="181"/>
        <v>-88.1874559271491</v>
      </c>
      <c r="AF198" s="32" t="str">
        <f t="shared" si="182"/>
        <v>748,315388573934</v>
      </c>
      <c r="AG198" s="32" t="str">
        <f t="shared" si="164"/>
        <v>1+19,7340113166685i</v>
      </c>
      <c r="AH198" s="32">
        <f t="shared" si="183"/>
        <v>19.7593320394795</v>
      </c>
      <c r="AI198" s="32">
        <f t="shared" si="184"/>
        <v>1.52016569974684</v>
      </c>
      <c r="AJ198" s="32" t="str">
        <f t="shared" si="165"/>
        <v>1+0,0621621356475056i</v>
      </c>
      <c r="AK198" s="32">
        <f t="shared" si="185"/>
        <v>1.00193020271287</v>
      </c>
      <c r="AL198" s="32">
        <f t="shared" si="186"/>
        <v>0.0620822532242008</v>
      </c>
      <c r="AM198" s="32" t="str">
        <f t="shared" si="166"/>
        <v>1-0,0105953632481384i</v>
      </c>
      <c r="AN198" s="32">
        <f t="shared" si="187"/>
        <v>1.00005612928593</v>
      </c>
      <c r="AO198" s="32">
        <f t="shared" si="188"/>
        <v>-0.0105949667902665</v>
      </c>
      <c r="AP198" s="30" t="str">
        <f t="shared" si="189"/>
        <v>3,8683086831335-37,7490380037874i</v>
      </c>
      <c r="AQ198" s="32">
        <f t="shared" si="190"/>
        <v>31.583485227522</v>
      </c>
      <c r="AR198" s="31">
        <f t="shared" si="191"/>
        <v>-84.1490745447998</v>
      </c>
      <c r="AS198" t="str">
        <f t="shared" si="167"/>
        <v>-0,0000504684572142411</v>
      </c>
      <c r="AT198" t="str">
        <f t="shared" si="168"/>
        <v>0,000890805604591486i</v>
      </c>
      <c r="AU198">
        <f t="shared" si="192"/>
        <v>0.000890805604591486</v>
      </c>
      <c r="AV198">
        <f t="shared" si="193"/>
        <v>1.5707963267949</v>
      </c>
      <c r="AW198" t="str">
        <f t="shared" si="169"/>
        <v>1+0,0456076130557302i</v>
      </c>
      <c r="AX198">
        <f t="shared" si="194"/>
        <v>1.00103948691779</v>
      </c>
      <c r="AY198">
        <f t="shared" si="195"/>
        <v>0.0455760303576809</v>
      </c>
      <c r="AZ198" t="str">
        <f t="shared" si="170"/>
        <v>1+2,18043205396225i</v>
      </c>
      <c r="BA198">
        <f t="shared" si="196"/>
        <v>2.39880885898523</v>
      </c>
      <c r="BB198">
        <f t="shared" si="197"/>
        <v>1.14079328791281</v>
      </c>
      <c r="BC198" s="30" t="str">
        <f t="shared" si="198"/>
        <v>-0,120697100284266+0,062159555868711i</v>
      </c>
      <c r="BD198" s="32">
        <f t="shared" si="199"/>
        <v>-17.3443695366102</v>
      </c>
      <c r="BE198" s="31">
        <f t="shared" si="200"/>
        <v>152.751326507802</v>
      </c>
      <c r="BF198" s="30" t="str">
        <f t="shared" si="201"/>
        <v>0,395071183715431+0,830665739264646i</v>
      </c>
      <c r="BG198" s="68">
        <f t="shared" si="202"/>
        <v>-0.725850749914895</v>
      </c>
      <c r="BH198" s="31">
        <f t="shared" si="203"/>
        <v>64.5638705806524</v>
      </c>
      <c r="BI198" s="30" t="str">
        <f t="shared" si="209"/>
        <v>1,87956979572786+4,79665177528435i</v>
      </c>
      <c r="BJ198" s="68">
        <f t="shared" si="204"/>
        <v>14.2391156909118</v>
      </c>
      <c r="BK198" s="31">
        <f t="shared" si="210"/>
        <v>68.6022519630016</v>
      </c>
      <c r="BL198" s="32">
        <f t="shared" si="205"/>
        <v>-0.725850749914895</v>
      </c>
      <c r="BM198" s="31">
        <f t="shared" si="206"/>
        <v>64.5638705806524</v>
      </c>
      <c r="BO198">
        <f t="shared" si="207"/>
        <v>0</v>
      </c>
      <c r="BP198">
        <f t="shared" si="208"/>
        <v>0</v>
      </c>
    </row>
    <row r="199" spans="14:68">
      <c r="N199" s="7">
        <v>81</v>
      </c>
      <c r="O199" s="18">
        <f t="shared" si="211"/>
        <v>645.654229034656</v>
      </c>
      <c r="P199" s="86" t="str">
        <f t="shared" si="159"/>
        <v>163,636363636364</v>
      </c>
      <c r="Q199" s="4" t="str">
        <f t="shared" si="160"/>
        <v>1+24,7831471921941i</v>
      </c>
      <c r="R199" s="4">
        <f t="shared" si="171"/>
        <v>24.8033139872469</v>
      </c>
      <c r="S199" s="4">
        <f t="shared" si="172"/>
        <v>1.53046820324068</v>
      </c>
      <c r="T199" s="4" t="str">
        <f t="shared" si="161"/>
        <v>1+0,0636100777932982i</v>
      </c>
      <c r="U199" s="4">
        <f t="shared" si="173"/>
        <v>1.00202107861904</v>
      </c>
      <c r="V199" s="4">
        <f t="shared" si="174"/>
        <v>0.063524491556258</v>
      </c>
      <c r="W199" t="str">
        <f t="shared" si="162"/>
        <v>1-0,0608514774808337i</v>
      </c>
      <c r="X199" s="4">
        <f t="shared" si="175"/>
        <v>1.00184974038605</v>
      </c>
      <c r="Y199" s="4">
        <f t="shared" si="176"/>
        <v>-0.0607765348880219</v>
      </c>
      <c r="Z199" t="str">
        <f t="shared" si="163"/>
        <v>0,999996596984625+0,0126049489067441i</v>
      </c>
      <c r="AA199" s="4">
        <f t="shared" si="177"/>
        <v>1.00007603646811</v>
      </c>
      <c r="AB199" s="4">
        <f t="shared" si="178"/>
        <v>0.0126043242805472</v>
      </c>
      <c r="AC199" s="67" t="str">
        <f t="shared" si="179"/>
        <v>0,201765452372486-6,61934286315563i</v>
      </c>
      <c r="AD199" s="68">
        <f t="shared" si="180"/>
        <v>16.4203307075107</v>
      </c>
      <c r="AE199" s="31">
        <f t="shared" si="181"/>
        <v>-88.2540969901762</v>
      </c>
      <c r="AF199" s="32" t="str">
        <f t="shared" si="182"/>
        <v>748,315388573934</v>
      </c>
      <c r="AG199" s="32" t="str">
        <f t="shared" si="164"/>
        <v>1+20,1936754899359i</v>
      </c>
      <c r="AH199" s="32">
        <f t="shared" si="183"/>
        <v>20.2184205563352</v>
      </c>
      <c r="AI199" s="32">
        <f t="shared" si="184"/>
        <v>1.52131629152499</v>
      </c>
      <c r="AJ199" s="32" t="str">
        <f t="shared" si="165"/>
        <v>1+0,0636100777932982i</v>
      </c>
      <c r="AK199" s="32">
        <f t="shared" si="185"/>
        <v>1.00202107861904</v>
      </c>
      <c r="AL199" s="32">
        <f t="shared" si="186"/>
        <v>0.063524491556258</v>
      </c>
      <c r="AM199" s="32" t="str">
        <f t="shared" si="166"/>
        <v>1-0,010842160962489i</v>
      </c>
      <c r="AN199" s="32">
        <f t="shared" si="187"/>
        <v>1.00005877449995</v>
      </c>
      <c r="AO199" s="32">
        <f t="shared" si="188"/>
        <v>-0.010841736151574</v>
      </c>
      <c r="AP199" s="30" t="str">
        <f t="shared" si="189"/>
        <v>3,78248178064833-36,8951654375233i</v>
      </c>
      <c r="AQ199" s="32">
        <f t="shared" si="190"/>
        <v>31.3847966508643</v>
      </c>
      <c r="AR199" s="31">
        <f t="shared" si="191"/>
        <v>-84.1465032710672</v>
      </c>
      <c r="AS199" t="str">
        <f t="shared" si="167"/>
        <v>-0,0000504684572142411</v>
      </c>
      <c r="AT199" t="str">
        <f t="shared" si="168"/>
        <v>0,000911555132662889i</v>
      </c>
      <c r="AU199">
        <f t="shared" si="192"/>
        <v>0.000911555132662889</v>
      </c>
      <c r="AV199">
        <f t="shared" si="193"/>
        <v>1.5707963267949</v>
      </c>
      <c r="AW199" t="str">
        <f t="shared" si="169"/>
        <v>1+0,0466699508345809i</v>
      </c>
      <c r="AX199">
        <f t="shared" si="194"/>
        <v>1.00108844979397</v>
      </c>
      <c r="AY199">
        <f t="shared" si="195"/>
        <v>0.046636111350833</v>
      </c>
      <c r="AZ199" t="str">
        <f t="shared" si="170"/>
        <v>1+2,2312208409639i</v>
      </c>
      <c r="BA199">
        <f t="shared" si="196"/>
        <v>2.44506573350322</v>
      </c>
      <c r="BB199">
        <f t="shared" si="197"/>
        <v>1.14945267362907</v>
      </c>
      <c r="BC199" s="30" t="str">
        <f t="shared" si="198"/>
        <v>-0,120685294069425+0,0609976041480524i</v>
      </c>
      <c r="BD199" s="32">
        <f t="shared" si="199"/>
        <v>-17.3788964667167</v>
      </c>
      <c r="BE199" s="31">
        <f t="shared" si="200"/>
        <v>153.186734595669</v>
      </c>
      <c r="BF199" s="30" t="str">
        <f t="shared" si="201"/>
        <v>0,379413932734379+0,811164549180857i</v>
      </c>
      <c r="BG199" s="68">
        <f t="shared" si="202"/>
        <v>-0.958565759205924</v>
      </c>
      <c r="BH199" s="31">
        <f t="shared" si="203"/>
        <v>64.9326376054933</v>
      </c>
      <c r="BI199" s="30" t="str">
        <f t="shared" si="209"/>
        <v>1,79402677032517+4,68342621692079i</v>
      </c>
      <c r="BJ199" s="68">
        <f t="shared" si="204"/>
        <v>14.0059001841476</v>
      </c>
      <c r="BK199" s="31">
        <f t="shared" si="210"/>
        <v>69.0402313246022</v>
      </c>
      <c r="BL199" s="32">
        <f t="shared" si="205"/>
        <v>-0.958565759205924</v>
      </c>
      <c r="BM199" s="31">
        <f t="shared" si="206"/>
        <v>64.9326376054933</v>
      </c>
      <c r="BO199">
        <f t="shared" si="207"/>
        <v>0</v>
      </c>
      <c r="BP199">
        <f t="shared" si="208"/>
        <v>0</v>
      </c>
    </row>
    <row r="200" spans="14:68">
      <c r="N200" s="7">
        <v>82</v>
      </c>
      <c r="O200" s="18">
        <f t="shared" si="211"/>
        <v>660.693448007596</v>
      </c>
      <c r="P200" s="86" t="str">
        <f t="shared" si="159"/>
        <v>163,636363636364</v>
      </c>
      <c r="Q200" s="4" t="str">
        <f t="shared" si="160"/>
        <v>1+25,3604208484347i</v>
      </c>
      <c r="R200" s="4">
        <f t="shared" si="171"/>
        <v>25.3801289517946</v>
      </c>
      <c r="S200" s="4">
        <f t="shared" si="172"/>
        <v>1.53138522209378</v>
      </c>
      <c r="T200" s="4" t="str">
        <f t="shared" si="161"/>
        <v>1+0,0650917468443157i</v>
      </c>
      <c r="U200" s="4">
        <f t="shared" si="173"/>
        <v>1.002116228542</v>
      </c>
      <c r="V200" s="4">
        <f t="shared" si="174"/>
        <v>0.0650000499953869</v>
      </c>
      <c r="W200" t="str">
        <f t="shared" si="162"/>
        <v>1-0,0622688904760673i</v>
      </c>
      <c r="X200" s="4">
        <f t="shared" si="175"/>
        <v>1.00193683170204</v>
      </c>
      <c r="Y200" s="4">
        <f t="shared" si="176"/>
        <v>-0.0621885964225941</v>
      </c>
      <c r="Z200" t="str">
        <f t="shared" si="163"/>
        <v>0,999996436605451+0,0128985558843282i</v>
      </c>
      <c r="AA200" s="4">
        <f t="shared" si="177"/>
        <v>1.00007961981409</v>
      </c>
      <c r="AB200" s="4">
        <f t="shared" si="178"/>
        <v>0.012897886588176</v>
      </c>
      <c r="AC200" s="67" t="str">
        <f t="shared" si="179"/>
        <v>0,189793252354789-6,4702803119346i</v>
      </c>
      <c r="AD200" s="68">
        <f t="shared" si="180"/>
        <v>16.2221971118807</v>
      </c>
      <c r="AE200" s="31">
        <f t="shared" si="181"/>
        <v>-88.3198200768004</v>
      </c>
      <c r="AF200" s="32" t="str">
        <f t="shared" si="182"/>
        <v>748,315388573934</v>
      </c>
      <c r="AG200" s="32" t="str">
        <f t="shared" si="164"/>
        <v>1+20,6640466172431i</v>
      </c>
      <c r="AH200" s="32">
        <f t="shared" si="183"/>
        <v>20.6882290832153</v>
      </c>
      <c r="AI200" s="32">
        <f t="shared" si="184"/>
        <v>1.52244081934682</v>
      </c>
      <c r="AJ200" s="32" t="str">
        <f t="shared" si="165"/>
        <v>1+0,0650917468443157i</v>
      </c>
      <c r="AK200" s="32">
        <f t="shared" si="185"/>
        <v>1.002116228542</v>
      </c>
      <c r="AL200" s="32">
        <f t="shared" si="186"/>
        <v>0.0650000499953869</v>
      </c>
      <c r="AM200" s="32" t="str">
        <f t="shared" si="166"/>
        <v>1-0,011094707334095i</v>
      </c>
      <c r="AN200" s="32">
        <f t="shared" si="187"/>
        <v>1.00006154437156</v>
      </c>
      <c r="AO200" s="32">
        <f t="shared" si="188"/>
        <v>-0.0110942521425114</v>
      </c>
      <c r="AP200" s="30" t="str">
        <f t="shared" si="189"/>
        <v>3,7004992491777-36,0604733891481i</v>
      </c>
      <c r="AQ200" s="32">
        <f t="shared" si="190"/>
        <v>31.1861236508829</v>
      </c>
      <c r="AR200" s="31">
        <f t="shared" si="191"/>
        <v>-84.1408587987567</v>
      </c>
      <c r="AS200" t="str">
        <f t="shared" si="167"/>
        <v>-0,0000504684572142411</v>
      </c>
      <c r="AT200" t="str">
        <f t="shared" si="168"/>
        <v>0,000932787979331487i</v>
      </c>
      <c r="AU200">
        <f t="shared" si="192"/>
        <v>0.000932787979331487</v>
      </c>
      <c r="AV200">
        <f t="shared" si="193"/>
        <v>1.5707963267949</v>
      </c>
      <c r="AW200" t="str">
        <f t="shared" si="169"/>
        <v>1+0,047757033639114i</v>
      </c>
      <c r="AX200">
        <f t="shared" si="194"/>
        <v>1.00113971765284</v>
      </c>
      <c r="AY200">
        <f t="shared" si="195"/>
        <v>0.0477207762080447</v>
      </c>
      <c r="AZ200" t="str">
        <f t="shared" si="170"/>
        <v>1+2,28319265078913i</v>
      </c>
      <c r="BA200">
        <f t="shared" si="196"/>
        <v>2.49258273295341</v>
      </c>
      <c r="BB200">
        <f t="shared" si="197"/>
        <v>1.15798039462548</v>
      </c>
      <c r="BC200" s="30" t="str">
        <f t="shared" si="198"/>
        <v>-0,120672933920105+0,0598679423337229i</v>
      </c>
      <c r="BD200" s="32">
        <f t="shared" si="199"/>
        <v>-17.4121604196412</v>
      </c>
      <c r="BE200" s="31">
        <f t="shared" si="200"/>
        <v>153.613190299124</v>
      </c>
      <c r="BF200" s="30" t="str">
        <f t="shared" si="201"/>
        <v>0,364459459998032+0,792150240013947i</v>
      </c>
      <c r="BG200" s="68">
        <f t="shared" si="202"/>
        <v>-1.18996330776053</v>
      </c>
      <c r="BH200" s="31">
        <f t="shared" si="203"/>
        <v>65.2933702223237</v>
      </c>
      <c r="BI200" s="30" t="str">
        <f t="shared" si="209"/>
        <v>1,71231624002085+4,57306439807213i</v>
      </c>
      <c r="BJ200" s="68">
        <f t="shared" si="204"/>
        <v>13.7739632312418</v>
      </c>
      <c r="BK200" s="31">
        <f t="shared" si="210"/>
        <v>69.4723315003674</v>
      </c>
      <c r="BL200" s="32">
        <f t="shared" si="205"/>
        <v>-1.18996330776053</v>
      </c>
      <c r="BM200" s="31">
        <f t="shared" si="206"/>
        <v>65.2933702223237</v>
      </c>
      <c r="BO200">
        <f t="shared" si="207"/>
        <v>0</v>
      </c>
      <c r="BP200">
        <f t="shared" si="208"/>
        <v>0</v>
      </c>
    </row>
    <row r="201" spans="14:68">
      <c r="N201" s="7">
        <v>83</v>
      </c>
      <c r="O201" s="18">
        <f t="shared" si="211"/>
        <v>676.082975391982</v>
      </c>
      <c r="P201" s="86" t="str">
        <f t="shared" si="159"/>
        <v>163,636363636364</v>
      </c>
      <c r="Q201" s="4" t="str">
        <f t="shared" si="160"/>
        <v>1+25,951140935494i</v>
      </c>
      <c r="R201" s="4">
        <f t="shared" si="171"/>
        <v>25.9704007642137</v>
      </c>
      <c r="S201" s="4">
        <f t="shared" si="172"/>
        <v>1.53228143113582</v>
      </c>
      <c r="T201" s="4" t="str">
        <f t="shared" si="161"/>
        <v>1+0,0666079284011011i</v>
      </c>
      <c r="U201" s="4">
        <f t="shared" si="173"/>
        <v>1.00221585306055</v>
      </c>
      <c r="V201" s="4">
        <f t="shared" si="174"/>
        <v>0.0665096851861727</v>
      </c>
      <c r="W201" t="str">
        <f t="shared" si="162"/>
        <v>1-0,0637193192612575i</v>
      </c>
      <c r="X201" s="4">
        <f t="shared" si="175"/>
        <v>1.00202801939223</v>
      </c>
      <c r="Y201" s="4">
        <f t="shared" si="176"/>
        <v>-0.0636332920346821</v>
      </c>
      <c r="Z201" t="str">
        <f t="shared" si="163"/>
        <v>0,99999626866784+0,0131990018469748i</v>
      </c>
      <c r="AA201" s="4">
        <f t="shared" si="177"/>
        <v>1.00008337202423</v>
      </c>
      <c r="AB201" s="4">
        <f t="shared" si="178"/>
        <v>0.0131982846864541</v>
      </c>
      <c r="AC201" s="67" t="str">
        <f t="shared" si="179"/>
        <v>0,178356900402757-6,32460598102304i</v>
      </c>
      <c r="AD201" s="68">
        <f t="shared" si="180"/>
        <v>16.0241219158079</v>
      </c>
      <c r="AE201" s="31">
        <f t="shared" si="181"/>
        <v>-88.3846598518932</v>
      </c>
      <c r="AF201" s="32" t="str">
        <f t="shared" si="182"/>
        <v>748,315388573934</v>
      </c>
      <c r="AG201" s="32" t="str">
        <f t="shared" si="164"/>
        <v>1+21,1453740955877i</v>
      </c>
      <c r="AH201" s="32">
        <f t="shared" si="183"/>
        <v>21.1690067230929</v>
      </c>
      <c r="AI201" s="32">
        <f t="shared" si="184"/>
        <v>1.52353986806913</v>
      </c>
      <c r="AJ201" s="32" t="str">
        <f t="shared" si="165"/>
        <v>1+0,0666079284011011i</v>
      </c>
      <c r="AK201" s="32">
        <f t="shared" si="185"/>
        <v>1.00221585306055</v>
      </c>
      <c r="AL201" s="32">
        <f t="shared" si="186"/>
        <v>0.0665096851861727</v>
      </c>
      <c r="AM201" s="32" t="str">
        <f t="shared" si="166"/>
        <v>1-0,0113531362663853i</v>
      </c>
      <c r="AN201" s="32">
        <f t="shared" si="187"/>
        <v>1.00006444477498</v>
      </c>
      <c r="AO201" s="32">
        <f t="shared" si="188"/>
        <v>-0.0113526485215134</v>
      </c>
      <c r="AP201" s="30" t="str">
        <f t="shared" si="189"/>
        <v>3,62218968363346-35,2445446587463i</v>
      </c>
      <c r="AQ201" s="32">
        <f t="shared" si="190"/>
        <v>30.9874690134325</v>
      </c>
      <c r="AR201" s="31">
        <f t="shared" si="191"/>
        <v>-84.132138948946</v>
      </c>
      <c r="AS201" t="str">
        <f t="shared" si="167"/>
        <v>-0,0000504684572142411</v>
      </c>
      <c r="AT201" t="str">
        <f t="shared" si="168"/>
        <v>0,000954515402533636i</v>
      </c>
      <c r="AU201">
        <f t="shared" si="192"/>
        <v>0.000954515402533636</v>
      </c>
      <c r="AV201">
        <f t="shared" si="193"/>
        <v>1.5707963267949</v>
      </c>
      <c r="AW201" t="str">
        <f t="shared" si="169"/>
        <v>1+0,0488694378550216i</v>
      </c>
      <c r="AX201">
        <f t="shared" si="194"/>
        <v>1.00119339887769</v>
      </c>
      <c r="AY201">
        <f t="shared" si="195"/>
        <v>0.0488305898183284</v>
      </c>
      <c r="AZ201" t="str">
        <f t="shared" si="170"/>
        <v>1+2,33637503957944i</v>
      </c>
      <c r="BA201">
        <f t="shared" si="196"/>
        <v>2.5413870869212</v>
      </c>
      <c r="BB201">
        <f t="shared" si="197"/>
        <v>1.16637601014209</v>
      </c>
      <c r="BC201" s="30" t="str">
        <f t="shared" si="198"/>
        <v>-0,120659993968157+0,0587699677742482i</v>
      </c>
      <c r="BD201" s="32">
        <f t="shared" si="199"/>
        <v>-17.4442014112436</v>
      </c>
      <c r="BE201" s="31">
        <f t="shared" si="200"/>
        <v>154.030635998725</v>
      </c>
      <c r="BF201" s="30" t="str">
        <f t="shared" si="201"/>
        <v>0,350176347162766+0,773608948810194i</v>
      </c>
      <c r="BG201" s="68">
        <f t="shared" si="202"/>
        <v>-1.42007949543573</v>
      </c>
      <c r="BH201" s="31">
        <f t="shared" si="203"/>
        <v>65.6459761468319</v>
      </c>
      <c r="BI201" s="30" t="str">
        <f t="shared" si="209"/>
        <v>1,63426736843384+4,46548251691412i</v>
      </c>
      <c r="BJ201" s="68">
        <f t="shared" si="204"/>
        <v>13.5432676021889</v>
      </c>
      <c r="BK201" s="31">
        <f t="shared" si="210"/>
        <v>69.8984970497792</v>
      </c>
      <c r="BL201" s="32">
        <f t="shared" si="205"/>
        <v>-1.42007949543573</v>
      </c>
      <c r="BM201" s="31">
        <f t="shared" si="206"/>
        <v>65.6459761468319</v>
      </c>
      <c r="BO201">
        <f t="shared" si="207"/>
        <v>0</v>
      </c>
      <c r="BP201">
        <f t="shared" si="208"/>
        <v>0</v>
      </c>
    </row>
    <row r="202" spans="14:68">
      <c r="N202" s="7">
        <v>84</v>
      </c>
      <c r="O202" s="18">
        <f t="shared" si="211"/>
        <v>691.830970918937</v>
      </c>
      <c r="P202" s="86" t="str">
        <f t="shared" si="159"/>
        <v>163,636363636364</v>
      </c>
      <c r="Q202" s="4" t="str">
        <f t="shared" si="160"/>
        <v>1+26,5556206609812i</v>
      </c>
      <c r="R202" s="4">
        <f t="shared" si="171"/>
        <v>26.5744423965947</v>
      </c>
      <c r="S202" s="4">
        <f t="shared" si="172"/>
        <v>1.53315729978681</v>
      </c>
      <c r="T202" s="4" t="str">
        <f t="shared" si="161"/>
        <v>1+0,0681594263631849i</v>
      </c>
      <c r="U202" s="4">
        <f t="shared" si="173"/>
        <v>1.00232016212494</v>
      </c>
      <c r="V202" s="4">
        <f t="shared" si="174"/>
        <v>0.0680541700180279</v>
      </c>
      <c r="W202" t="str">
        <f t="shared" si="162"/>
        <v>1-0,0652035328729448i</v>
      </c>
      <c r="X202" s="4">
        <f t="shared" si="175"/>
        <v>1.00212349573249</v>
      </c>
      <c r="Y202" s="4">
        <f t="shared" si="176"/>
        <v>-0.0651113635850972</v>
      </c>
      <c r="Z202" t="str">
        <f t="shared" si="163"/>
        <v>0,999996092815573+0,01350644609511i</v>
      </c>
      <c r="AA202" s="4">
        <f t="shared" si="177"/>
        <v>1.00008730105553</v>
      </c>
      <c r="AB202" s="4">
        <f t="shared" si="178"/>
        <v>0.0135056776473882</v>
      </c>
      <c r="AC202" s="67" t="str">
        <f t="shared" si="179"/>
        <v>0,167432358910936-6,18224545179004i</v>
      </c>
      <c r="AD202" s="68">
        <f t="shared" si="180"/>
        <v>15.8261091556442</v>
      </c>
      <c r="AE202" s="31">
        <f t="shared" si="181"/>
        <v>-88.4486505475861</v>
      </c>
      <c r="AF202" s="32" t="str">
        <f t="shared" si="182"/>
        <v>748,315388573934</v>
      </c>
      <c r="AG202" s="32" t="str">
        <f t="shared" si="164"/>
        <v>1+21,6379131311698i</v>
      </c>
      <c r="AH202" s="32">
        <f t="shared" si="183"/>
        <v>21.6610083946258</v>
      </c>
      <c r="AI202" s="32">
        <f t="shared" si="184"/>
        <v>1.52461400979565</v>
      </c>
      <c r="AJ202" s="32" t="str">
        <f t="shared" si="165"/>
        <v>1+0,0681594263631849i</v>
      </c>
      <c r="AK202" s="32">
        <f t="shared" si="185"/>
        <v>1.00232016212494</v>
      </c>
      <c r="AL202" s="32">
        <f t="shared" si="186"/>
        <v>0.0680541700180279</v>
      </c>
      <c r="AM202" s="32" t="str">
        <f t="shared" si="166"/>
        <v>1-0,0116175847818005i</v>
      </c>
      <c r="AN202" s="32">
        <f t="shared" si="187"/>
        <v>1.00006748186118</v>
      </c>
      <c r="AO202" s="32">
        <f t="shared" si="188"/>
        <v>-0.0116170621556589</v>
      </c>
      <c r="AP202" s="30" t="str">
        <f t="shared" si="189"/>
        <v>3,54738925159189-34,4469703147312i</v>
      </c>
      <c r="AQ202" s="32">
        <f t="shared" si="190"/>
        <v>30.788835561881</v>
      </c>
      <c r="AR202" s="31">
        <f t="shared" si="191"/>
        <v>-84.1203400593697</v>
      </c>
      <c r="AS202" t="str">
        <f t="shared" si="167"/>
        <v>-0,0000504684572142411</v>
      </c>
      <c r="AT202" t="str">
        <f t="shared" si="168"/>
        <v>0,000976748922436713i</v>
      </c>
      <c r="AU202">
        <f t="shared" si="192"/>
        <v>0.000976748922436713</v>
      </c>
      <c r="AV202">
        <f t="shared" si="193"/>
        <v>1.5707963267949</v>
      </c>
      <c r="AW202" t="str">
        <f t="shared" si="169"/>
        <v>1+0,0500077532937434i</v>
      </c>
      <c r="AX202">
        <f t="shared" si="194"/>
        <v>1.001249606936</v>
      </c>
      <c r="AY202">
        <f t="shared" si="195"/>
        <v>0.0499661296777982</v>
      </c>
      <c r="AZ202" t="str">
        <f t="shared" si="170"/>
        <v>1+2,3907962053413i</v>
      </c>
      <c r="BA202">
        <f t="shared" si="196"/>
        <v>2.59150660726041</v>
      </c>
      <c r="BB202">
        <f t="shared" si="197"/>
        <v>1.17463923638393</v>
      </c>
      <c r="BC202" s="30" t="str">
        <f t="shared" si="198"/>
        <v>-0,120646447149134+0,0577030943573371i</v>
      </c>
      <c r="BD202" s="32">
        <f t="shared" si="199"/>
        <v>-17.475059001503</v>
      </c>
      <c r="BE202" s="31">
        <f t="shared" si="200"/>
        <v>154.439022346128</v>
      </c>
      <c r="BF202" s="30" t="str">
        <f t="shared" si="201"/>
        <v>0,336534573404456+0,75552731436707i</v>
      </c>
      <c r="BG202" s="68">
        <f t="shared" si="202"/>
        <v>-1.64894984585875</v>
      </c>
      <c r="BH202" s="31">
        <f t="shared" si="203"/>
        <v>65.9903717985416</v>
      </c>
      <c r="BI202" s="30" t="str">
        <f t="shared" si="209"/>
        <v>1,55971686853574+4,36059992023082i</v>
      </c>
      <c r="BJ202" s="68">
        <f t="shared" si="204"/>
        <v>13.313776560378</v>
      </c>
      <c r="BK202" s="31">
        <f t="shared" si="210"/>
        <v>70.318682286758</v>
      </c>
      <c r="BL202" s="32">
        <f t="shared" si="205"/>
        <v>-1.64894984585875</v>
      </c>
      <c r="BM202" s="31">
        <f t="shared" si="206"/>
        <v>65.9903717985416</v>
      </c>
      <c r="BO202">
        <f t="shared" si="207"/>
        <v>0</v>
      </c>
      <c r="BP202">
        <f t="shared" si="208"/>
        <v>0</v>
      </c>
    </row>
    <row r="203" spans="14:68">
      <c r="N203" s="7">
        <v>85</v>
      </c>
      <c r="O203" s="18">
        <f t="shared" si="211"/>
        <v>707.945784384139</v>
      </c>
      <c r="P203" s="86" t="str">
        <f t="shared" si="159"/>
        <v>163,636363636364</v>
      </c>
      <c r="Q203" s="4" t="str">
        <f t="shared" si="160"/>
        <v>1+27,1741805280481i</v>
      </c>
      <c r="R203" s="4">
        <f t="shared" si="171"/>
        <v>27.192574121825</v>
      </c>
      <c r="S203" s="4">
        <f t="shared" si="172"/>
        <v>1.53401328706547</v>
      </c>
      <c r="T203" s="4" t="str">
        <f t="shared" si="161"/>
        <v>1+0,0697470633553234i</v>
      </c>
      <c r="U203" s="4">
        <f t="shared" si="173"/>
        <v>1.00242937549071</v>
      </c>
      <c r="V203" s="4">
        <f t="shared" si="174"/>
        <v>0.0696342939065477</v>
      </c>
      <c r="W203" t="str">
        <f t="shared" si="162"/>
        <v>1-0,0667223182608323i</v>
      </c>
      <c r="X203" s="4">
        <f t="shared" si="175"/>
        <v>1.00222346198545</v>
      </c>
      <c r="Y203" s="4">
        <f t="shared" si="176"/>
        <v>-0.0666235689192914</v>
      </c>
      <c r="Z203" t="str">
        <f t="shared" si="163"/>
        <v>0,999995908675644+0,0138210516397438i</v>
      </c>
      <c r="AA203" s="4">
        <f t="shared" si="177"/>
        <v>1.00009141523985</v>
      </c>
      <c r="AB203" s="4">
        <f t="shared" si="178"/>
        <v>0.0138202282372377</v>
      </c>
      <c r="AC203" s="67" t="str">
        <f t="shared" si="179"/>
        <v>0,156996656557875-6,04312587514221i</v>
      </c>
      <c r="AD203" s="68">
        <f t="shared" si="180"/>
        <v>15.6281629962629</v>
      </c>
      <c r="AE203" s="31">
        <f t="shared" si="181"/>
        <v>-88.5118259806987</v>
      </c>
      <c r="AF203" s="32" t="str">
        <f t="shared" si="182"/>
        <v>748,315388573934</v>
      </c>
      <c r="AG203" s="32" t="str">
        <f t="shared" si="164"/>
        <v>1+22,1419248747058i</v>
      </c>
      <c r="AH203" s="32">
        <f t="shared" si="183"/>
        <v>22.1644949673372</v>
      </c>
      <c r="AI203" s="32">
        <f t="shared" si="184"/>
        <v>1.52566380413032</v>
      </c>
      <c r="AJ203" s="32" t="str">
        <f t="shared" si="165"/>
        <v>1+0,0697470633553234i</v>
      </c>
      <c r="AK203" s="32">
        <f t="shared" si="185"/>
        <v>1.00242937549071</v>
      </c>
      <c r="AL203" s="32">
        <f t="shared" si="186"/>
        <v>0.0696342939065477</v>
      </c>
      <c r="AM203" s="32" t="str">
        <f t="shared" si="166"/>
        <v>1-0,011888193094444i</v>
      </c>
      <c r="AN203" s="32">
        <f t="shared" si="187"/>
        <v>1.00007066207096</v>
      </c>
      <c r="AO203" s="32">
        <f t="shared" si="188"/>
        <v>-0.0118876330925809</v>
      </c>
      <c r="AP203" s="30" t="str">
        <f t="shared" si="189"/>
        <v>3,47594136485537-33,6673495877911i</v>
      </c>
      <c r="AQ203" s="32">
        <f t="shared" si="190"/>
        <v>30.5902261628444</v>
      </c>
      <c r="AR203" s="31">
        <f t="shared" si="191"/>
        <v>-84.1054569869277</v>
      </c>
      <c r="AS203" t="str">
        <f t="shared" si="167"/>
        <v>-0,0000504684572142411</v>
      </c>
      <c r="AT203" t="str">
        <f t="shared" si="168"/>
        <v>0,000999500327547267i</v>
      </c>
      <c r="AU203">
        <f t="shared" si="192"/>
        <v>0.000999500327547267</v>
      </c>
      <c r="AV203">
        <f t="shared" si="193"/>
        <v>1.5707963267949</v>
      </c>
      <c r="AW203" t="str">
        <f t="shared" si="169"/>
        <v>1+0,0511725835051925i</v>
      </c>
      <c r="AX203">
        <f t="shared" si="194"/>
        <v>1.00130846061671</v>
      </c>
      <c r="AY203">
        <f t="shared" si="195"/>
        <v>0.0511279861442822</v>
      </c>
      <c r="AZ203" t="str">
        <f t="shared" si="170"/>
        <v>1+2,44648500289718i</v>
      </c>
      <c r="BA203">
        <f t="shared" si="196"/>
        <v>2.64296970648564</v>
      </c>
      <c r="BB203">
        <f t="shared" si="197"/>
        <v>1.1827699398069</v>
      </c>
      <c r="BC203" s="30" t="str">
        <f t="shared" si="198"/>
        <v>-0,12063226514811+0,0566667521806434i</v>
      </c>
      <c r="BD203" s="32">
        <f t="shared" si="199"/>
        <v>-17.5047722477997</v>
      </c>
      <c r="BE203" s="31">
        <f t="shared" si="200"/>
        <v>154.838307864807</v>
      </c>
      <c r="BF203" s="30" t="str">
        <f t="shared" si="201"/>
        <v>0,323505454061861+0,737892453523914i</v>
      </c>
      <c r="BG203" s="68">
        <f t="shared" si="202"/>
        <v>-1.87660925153673</v>
      </c>
      <c r="BH203" s="31">
        <f t="shared" si="203"/>
        <v>66.3264818841086</v>
      </c>
      <c r="BI203" s="30" t="str">
        <f t="shared" si="209"/>
        <v>1,48850867530593+4,25833895022523i</v>
      </c>
      <c r="BJ203" s="68">
        <f t="shared" si="204"/>
        <v>13.0854539150447</v>
      </c>
      <c r="BK203" s="31">
        <f t="shared" si="210"/>
        <v>70.7328508778796</v>
      </c>
      <c r="BL203" s="32">
        <f t="shared" si="205"/>
        <v>-1.87660925153673</v>
      </c>
      <c r="BM203" s="31">
        <f t="shared" si="206"/>
        <v>66.3264818841086</v>
      </c>
      <c r="BO203">
        <f t="shared" si="207"/>
        <v>0</v>
      </c>
      <c r="BP203">
        <f t="shared" si="208"/>
        <v>0</v>
      </c>
    </row>
    <row r="204" spans="14:68">
      <c r="N204" s="7">
        <v>86</v>
      </c>
      <c r="O204" s="18">
        <f t="shared" si="211"/>
        <v>724.43596007499</v>
      </c>
      <c r="P204" s="86" t="str">
        <f t="shared" si="159"/>
        <v>163,636363636364</v>
      </c>
      <c r="Q204" s="4" t="str">
        <f t="shared" si="160"/>
        <v>1+27,8071485053236i</v>
      </c>
      <c r="R204" s="4">
        <f t="shared" si="171"/>
        <v>27.825123683411</v>
      </c>
      <c r="S204" s="4">
        <f t="shared" si="172"/>
        <v>1.53484984180718</v>
      </c>
      <c r="T204" s="4" t="str">
        <f t="shared" si="161"/>
        <v>1+0,071371681163664i</v>
      </c>
      <c r="U204" s="4">
        <f t="shared" si="173"/>
        <v>1.00254372317228</v>
      </c>
      <c r="V204" s="4">
        <f t="shared" si="174"/>
        <v>0.0712508630746753</v>
      </c>
      <c r="W204" t="str">
        <f t="shared" si="162"/>
        <v>1-0,0682764807050357i</v>
      </c>
      <c r="X204" s="4">
        <f t="shared" si="175"/>
        <v>1.00232812881684</v>
      </c>
      <c r="Y204" s="4">
        <f t="shared" si="176"/>
        <v>-0.0681706821485067</v>
      </c>
      <c r="Z204" t="str">
        <f t="shared" si="163"/>
        <v>0,999995715857467+0,0141429852889002i</v>
      </c>
      <c r="AA204" s="4">
        <f t="shared" si="177"/>
        <v>1.00009572330161</v>
      </c>
      <c r="AB204" s="4">
        <f t="shared" si="178"/>
        <v>0.0141421030017774</v>
      </c>
      <c r="AC204" s="67" t="str">
        <f t="shared" si="179"/>
        <v>0,147027841275609-5,907175945302i</v>
      </c>
      <c r="AD204" s="68">
        <f t="shared" si="180"/>
        <v>15.4302877394722</v>
      </c>
      <c r="AE204" s="31">
        <f t="shared" si="181"/>
        <v>-88.5742195701086</v>
      </c>
      <c r="AF204" s="32" t="str">
        <f t="shared" si="182"/>
        <v>748,315388573934</v>
      </c>
      <c r="AG204" s="32" t="str">
        <f t="shared" si="164"/>
        <v>1+22,6576765598933i</v>
      </c>
      <c r="AH204" s="32">
        <f t="shared" si="183"/>
        <v>22.6797333999485</v>
      </c>
      <c r="AI204" s="32">
        <f t="shared" si="184"/>
        <v>1.52668979842717</v>
      </c>
      <c r="AJ204" s="32" t="str">
        <f t="shared" si="165"/>
        <v>1+0,071371681163664i</v>
      </c>
      <c r="AK204" s="32">
        <f t="shared" si="185"/>
        <v>1.00254372317228</v>
      </c>
      <c r="AL204" s="32">
        <f t="shared" si="186"/>
        <v>0.0712508630746753</v>
      </c>
      <c r="AM204" s="32" t="str">
        <f t="shared" si="166"/>
        <v>1-0,012165104684425i</v>
      </c>
      <c r="AN204" s="32">
        <f t="shared" si="187"/>
        <v>1.00007399214857</v>
      </c>
      <c r="AO204" s="32">
        <f t="shared" si="188"/>
        <v>-0.0121645046340154</v>
      </c>
      <c r="AP204" s="30" t="str">
        <f t="shared" si="189"/>
        <v>3,4076963647184-32,9052897619196i</v>
      </c>
      <c r="AQ204" s="32">
        <f t="shared" si="190"/>
        <v>30.3916437319997</v>
      </c>
      <c r="AR204" s="31">
        <f t="shared" si="191"/>
        <v>-84.0874831101085</v>
      </c>
      <c r="AS204" t="str">
        <f t="shared" si="167"/>
        <v>-0,0000504684572142411</v>
      </c>
      <c r="AT204" t="str">
        <f t="shared" si="168"/>
        <v>0,00102278168096144i</v>
      </c>
      <c r="AU204">
        <f t="shared" si="192"/>
        <v>0.00102278168096144</v>
      </c>
      <c r="AV204">
        <f t="shared" si="193"/>
        <v>1.5707963267949</v>
      </c>
      <c r="AW204" t="str">
        <f t="shared" si="169"/>
        <v>1+0,0523645460977651i</v>
      </c>
      <c r="AX204">
        <f t="shared" si="194"/>
        <v>1.00137008427855</v>
      </c>
      <c r="AY204">
        <f t="shared" si="195"/>
        <v>0.0523167626951166</v>
      </c>
      <c r="AZ204" t="str">
        <f t="shared" si="170"/>
        <v>1+2,50347095918464i</v>
      </c>
      <c r="BA204">
        <f t="shared" si="196"/>
        <v>2.6958054164722</v>
      </c>
      <c r="BB204">
        <f t="shared" si="197"/>
        <v>1.19076813031101</v>
      </c>
      <c r="BC204" s="30" t="str">
        <f t="shared" si="198"/>
        <v>-0,120617418343125+0,0556603872298333i</v>
      </c>
      <c r="BD204" s="32">
        <f t="shared" si="199"/>
        <v>-17.5333796630065</v>
      </c>
      <c r="BE204" s="31">
        <f t="shared" si="200"/>
        <v>155.228458545287</v>
      </c>
      <c r="BF204" s="30" t="str">
        <f t="shared" si="201"/>
        <v>0,311061581911039+0,720691938799903i</v>
      </c>
      <c r="BG204" s="68">
        <f t="shared" si="202"/>
        <v>-2.10309192353426</v>
      </c>
      <c r="BH204" s="31">
        <f t="shared" si="203"/>
        <v>66.6542389751787</v>
      </c>
      <c r="BI204" s="30" t="str">
        <f t="shared" si="209"/>
        <v>1,42049363204873+4,15862480013713i</v>
      </c>
      <c r="BJ204" s="68">
        <f t="shared" si="204"/>
        <v>12.8582640689933</v>
      </c>
      <c r="BK204" s="31">
        <f t="shared" si="210"/>
        <v>71.1409754351789</v>
      </c>
      <c r="BL204" s="32">
        <f t="shared" si="205"/>
        <v>-2.10309192353426</v>
      </c>
      <c r="BM204" s="31">
        <f t="shared" si="206"/>
        <v>66.6542389751787</v>
      </c>
      <c r="BO204">
        <f t="shared" si="207"/>
        <v>0</v>
      </c>
      <c r="BP204">
        <f t="shared" si="208"/>
        <v>0</v>
      </c>
    </row>
    <row r="205" spans="14:68">
      <c r="N205" s="7">
        <v>87</v>
      </c>
      <c r="O205" s="18">
        <f t="shared" si="211"/>
        <v>741.310241300918</v>
      </c>
      <c r="P205" s="86" t="str">
        <f t="shared" si="159"/>
        <v>163,636363636364</v>
      </c>
      <c r="Q205" s="4" t="str">
        <f t="shared" si="160"/>
        <v>1+28,454860200808i</v>
      </c>
      <c r="R205" s="4">
        <f t="shared" si="171"/>
        <v>28.4724264692619</v>
      </c>
      <c r="S205" s="4">
        <f t="shared" si="172"/>
        <v>1.53566740287814</v>
      </c>
      <c r="T205" s="4" t="str">
        <f t="shared" si="161"/>
        <v>1+0,0730341411820738i</v>
      </c>
      <c r="U205" s="4">
        <f t="shared" si="173"/>
        <v>1.00266344591703</v>
      </c>
      <c r="V205" s="4">
        <f t="shared" si="174"/>
        <v>0.0729047008332196</v>
      </c>
      <c r="W205" t="str">
        <f t="shared" si="162"/>
        <v>1-0,0698668442430553i</v>
      </c>
      <c r="X205" s="4">
        <f t="shared" si="175"/>
        <v>1.00243771673081</v>
      </c>
      <c r="Y205" s="4">
        <f t="shared" si="176"/>
        <v>-0.0697534939311329</v>
      </c>
      <c r="Z205" t="str">
        <f t="shared" si="163"/>
        <v>0,99999551395205+0,0144724177360614i</v>
      </c>
      <c r="AA205" s="4">
        <f t="shared" si="177"/>
        <v>1.00010023437621</v>
      </c>
      <c r="AB205" s="4">
        <f t="shared" si="178"/>
        <v>0.0144714723534913</v>
      </c>
      <c r="AC205" s="67" t="str">
        <f t="shared" si="179"/>
        <v>0,13750493523294-5,77432587358571i</v>
      </c>
      <c r="AD205" s="68">
        <f t="shared" si="180"/>
        <v>15.2324878326819</v>
      </c>
      <c r="AE205" s="31">
        <f t="shared" si="181"/>
        <v>-88.6358643540667</v>
      </c>
      <c r="AF205" s="32" t="str">
        <f t="shared" si="182"/>
        <v>748,315388573934</v>
      </c>
      <c r="AG205" s="32" t="str">
        <f t="shared" si="164"/>
        <v>1+23,1854416451028i</v>
      </c>
      <c r="AH205" s="32">
        <f t="shared" si="183"/>
        <v>23.206996881942</v>
      </c>
      <c r="AI205" s="32">
        <f t="shared" si="184"/>
        <v>1.52769252803682</v>
      </c>
      <c r="AJ205" s="32" t="str">
        <f t="shared" si="165"/>
        <v>1+0,0730341411820738i</v>
      </c>
      <c r="AK205" s="32">
        <f t="shared" si="185"/>
        <v>1.00266344591703</v>
      </c>
      <c r="AL205" s="32">
        <f t="shared" si="186"/>
        <v>0.0729047008332196</v>
      </c>
      <c r="AM205" s="32" t="str">
        <f t="shared" si="166"/>
        <v>1-0,0124484663739339i</v>
      </c>
      <c r="AN205" s="32">
        <f t="shared" si="187"/>
        <v>1.00007747915602</v>
      </c>
      <c r="AO205" s="32">
        <f t="shared" si="188"/>
        <v>-0.0124478234110262</v>
      </c>
      <c r="AP205" s="30" t="str">
        <f t="shared" si="189"/>
        <v>3,34251122041376-32,1604060629375i</v>
      </c>
      <c r="AQ205" s="32">
        <f t="shared" si="190"/>
        <v>30.1930912399844</v>
      </c>
      <c r="AR205" s="31">
        <f t="shared" si="191"/>
        <v>-84.0664103313494</v>
      </c>
      <c r="AS205" t="str">
        <f t="shared" si="167"/>
        <v>-0,0000504684572142411</v>
      </c>
      <c r="AT205" t="str">
        <f t="shared" si="168"/>
        <v>0,00104660532676097i</v>
      </c>
      <c r="AU205">
        <f t="shared" si="192"/>
        <v>0.00104660532676097</v>
      </c>
      <c r="AV205">
        <f t="shared" si="193"/>
        <v>1.5707963267949</v>
      </c>
      <c r="AW205" t="str">
        <f t="shared" si="169"/>
        <v>1+0,0535842730658056i</v>
      </c>
      <c r="AX205">
        <f t="shared" si="194"/>
        <v>1.00143460810978</v>
      </c>
      <c r="AY205">
        <f t="shared" si="195"/>
        <v>0.053533076188004</v>
      </c>
      <c r="AZ205" t="str">
        <f t="shared" si="170"/>
        <v>1+2,56178428891202i</v>
      </c>
      <c r="BA205">
        <f t="shared" si="196"/>
        <v>2.75004340746041</v>
      </c>
      <c r="BB205">
        <f t="shared" si="197"/>
        <v>1.19863395437991</v>
      </c>
      <c r="BC205" s="30" t="str">
        <f t="shared" si="198"/>
        <v>-0,120601875746221+0,054683461063696i</v>
      </c>
      <c r="BD205" s="32">
        <f t="shared" si="199"/>
        <v>-17.5609191782594</v>
      </c>
      <c r="BE205" s="31">
        <f t="shared" si="200"/>
        <v>155.60944743712</v>
      </c>
      <c r="BF205" s="30" t="str">
        <f t="shared" si="201"/>
        <v>0,299176770963861+0,703913777296249i</v>
      </c>
      <c r="BG205" s="68">
        <f t="shared" si="202"/>
        <v>-2.32843134557749</v>
      </c>
      <c r="BH205" s="31">
        <f t="shared" si="203"/>
        <v>66.9735830830537</v>
      </c>
      <c r="BI205" s="30" t="str">
        <f t="shared" si="209"/>
        <v>1,35552918985061+4,06138537812686i</v>
      </c>
      <c r="BJ205" s="68">
        <f t="shared" si="204"/>
        <v>12.632172061725</v>
      </c>
      <c r="BK205" s="31">
        <f t="shared" si="210"/>
        <v>71.5430371057709</v>
      </c>
      <c r="BL205" s="32">
        <f t="shared" si="205"/>
        <v>-2.32843134557749</v>
      </c>
      <c r="BM205" s="31">
        <f t="shared" si="206"/>
        <v>66.9735830830537</v>
      </c>
      <c r="BO205">
        <f t="shared" si="207"/>
        <v>0</v>
      </c>
      <c r="BP205">
        <f t="shared" si="208"/>
        <v>0</v>
      </c>
    </row>
    <row r="206" spans="14:68">
      <c r="N206" s="7">
        <v>88</v>
      </c>
      <c r="O206" s="18">
        <f t="shared" si="211"/>
        <v>758.577575029184</v>
      </c>
      <c r="P206" s="86" t="str">
        <f t="shared" si="159"/>
        <v>163,636363636364</v>
      </c>
      <c r="Q206" s="4" t="str">
        <f t="shared" si="160"/>
        <v>1+29,1176590398153i</v>
      </c>
      <c r="R206" s="4">
        <f t="shared" si="171"/>
        <v>29.1348256895238</v>
      </c>
      <c r="S206" s="4">
        <f t="shared" si="172"/>
        <v>1.53646639938584</v>
      </c>
      <c r="T206" s="4" t="str">
        <f t="shared" si="161"/>
        <v>1+0,0747353248688593i</v>
      </c>
      <c r="U206" s="4">
        <f t="shared" si="173"/>
        <v>1.0027887957009</v>
      </c>
      <c r="V206" s="4">
        <f t="shared" si="174"/>
        <v>0.0745966478602131</v>
      </c>
      <c r="W206" t="str">
        <f t="shared" si="162"/>
        <v>1-0,0714942521066894i</v>
      </c>
      <c r="X206" s="4">
        <f t="shared" si="175"/>
        <v>1.00255245652499</v>
      </c>
      <c r="Y206" s="4">
        <f t="shared" si="176"/>
        <v>-0.0713728117538402</v>
      </c>
      <c r="Z206" t="str">
        <f t="shared" si="163"/>
        <v>0,999995302531124+0,0148095236506714i</v>
      </c>
      <c r="AA206" s="4">
        <f t="shared" si="177"/>
        <v>1.00010495802944</v>
      </c>
      <c r="AB206" s="4">
        <f t="shared" si="178"/>
        <v>0.0148085106607354</v>
      </c>
      <c r="AC206" s="67" t="str">
        <f t="shared" si="179"/>
        <v>0,128407891750012-5,64450736222178i</v>
      </c>
      <c r="AD206" s="68">
        <f t="shared" si="180"/>
        <v>15.0347678778412</v>
      </c>
      <c r="AE206" s="31">
        <f t="shared" si="181"/>
        <v>-88.6967930074679</v>
      </c>
      <c r="AF206" s="32" t="str">
        <f t="shared" si="182"/>
        <v>748,315388573934</v>
      </c>
      <c r="AG206" s="32" t="str">
        <f t="shared" si="164"/>
        <v>1+23,725499958368i</v>
      </c>
      <c r="AH206" s="32">
        <f t="shared" si="183"/>
        <v>23.7465649784241</v>
      </c>
      <c r="AI206" s="32">
        <f t="shared" si="184"/>
        <v>1.52867251654948</v>
      </c>
      <c r="AJ206" s="32" t="str">
        <f t="shared" si="165"/>
        <v>1+0,0747353248688593i</v>
      </c>
      <c r="AK206" s="32">
        <f t="shared" si="185"/>
        <v>1.0027887957009</v>
      </c>
      <c r="AL206" s="32">
        <f t="shared" si="186"/>
        <v>0.0745966478602131</v>
      </c>
      <c r="AM206" s="32" t="str">
        <f t="shared" si="166"/>
        <v>1-0,0127384284050892i</v>
      </c>
      <c r="AN206" s="32">
        <f t="shared" si="187"/>
        <v>1.00008113048804</v>
      </c>
      <c r="AO206" s="32">
        <f t="shared" si="188"/>
        <v>-0.0127377394609396</v>
      </c>
      <c r="AP206" s="30" t="str">
        <f t="shared" si="189"/>
        <v>3,28024924023167-31,4323215448889i</v>
      </c>
      <c r="AQ206" s="32">
        <f t="shared" si="190"/>
        <v>29.9945717183952</v>
      </c>
      <c r="AR206" s="31">
        <f t="shared" si="191"/>
        <v>-84.0422290793631</v>
      </c>
      <c r="AS206" t="str">
        <f t="shared" si="167"/>
        <v>-0,0000504684572142411</v>
      </c>
      <c r="AT206" t="str">
        <f t="shared" si="168"/>
        <v>0,00107098389655821i</v>
      </c>
      <c r="AU206">
        <f t="shared" si="192"/>
        <v>0.00107098389655821</v>
      </c>
      <c r="AV206">
        <f t="shared" si="193"/>
        <v>1.5707963267949</v>
      </c>
      <c r="AW206" t="str">
        <f t="shared" si="169"/>
        <v>1+0,0548324111246972i</v>
      </c>
      <c r="AX206">
        <f t="shared" si="194"/>
        <v>1.00150216839992</v>
      </c>
      <c r="AY206">
        <f t="shared" si="195"/>
        <v>0.0547775571248008</v>
      </c>
      <c r="AZ206" t="str">
        <f t="shared" si="170"/>
        <v>1+2,62145591057861i</v>
      </c>
      <c r="BA206">
        <f t="shared" si="196"/>
        <v>2.80571400736203</v>
      </c>
      <c r="BB206">
        <f t="shared" si="197"/>
        <v>1.20636768820298</v>
      </c>
      <c r="BC206" s="30" t="str">
        <f t="shared" si="198"/>
        <v>-0,120585604941924+0,0537354505060375i</v>
      </c>
      <c r="BD206" s="32">
        <f t="shared" si="199"/>
        <v>-17.5874281102691</v>
      </c>
      <c r="BE206" s="31">
        <f t="shared" si="200"/>
        <v>155.981254239697</v>
      </c>
      <c r="BF206" s="30" t="str">
        <f t="shared" si="201"/>
        <v>0,28782600268764+0,687546390784374i</v>
      </c>
      <c r="BG206" s="68">
        <f t="shared" si="202"/>
        <v>-2.55266023242791</v>
      </c>
      <c r="BH206" s="31">
        <f t="shared" si="203"/>
        <v>67.2844612322289</v>
      </c>
      <c r="BI206" s="30" t="str">
        <f t="shared" si="209"/>
        <v>1,29347911967161+3,96655117891544i</v>
      </c>
      <c r="BJ206" s="68">
        <f t="shared" si="204"/>
        <v>12.4071436081261</v>
      </c>
      <c r="BK206" s="31">
        <f t="shared" si="210"/>
        <v>71.9390251603337</v>
      </c>
      <c r="BL206" s="32">
        <f t="shared" si="205"/>
        <v>-2.55266023242791</v>
      </c>
      <c r="BM206" s="31">
        <f t="shared" si="206"/>
        <v>67.2844612322289</v>
      </c>
      <c r="BO206">
        <f t="shared" si="207"/>
        <v>0</v>
      </c>
      <c r="BP206">
        <f t="shared" si="208"/>
        <v>0</v>
      </c>
    </row>
    <row r="207" spans="14:68">
      <c r="N207" s="7">
        <v>89</v>
      </c>
      <c r="O207" s="18">
        <f t="shared" si="211"/>
        <v>776.247116628692</v>
      </c>
      <c r="P207" s="86" t="str">
        <f t="shared" si="159"/>
        <v>163,636363636364</v>
      </c>
      <c r="Q207" s="4" t="str">
        <f t="shared" si="160"/>
        <v>1+29,7958964470634i</v>
      </c>
      <c r="R207" s="4">
        <f t="shared" si="171"/>
        <v>29.8126725585635</v>
      </c>
      <c r="S207" s="4">
        <f t="shared" si="172"/>
        <v>1.53724725088587</v>
      </c>
      <c r="T207" s="4" t="str">
        <f t="shared" si="161"/>
        <v>1+0,0764761342141294i</v>
      </c>
      <c r="U207" s="4">
        <f t="shared" si="173"/>
        <v>1.00292003624633</v>
      </c>
      <c r="V207" s="4">
        <f t="shared" si="174"/>
        <v>0.0763275624785721</v>
      </c>
      <c r="W207" t="str">
        <f t="shared" si="162"/>
        <v>1-0,0731595671691289i</v>
      </c>
      <c r="X207" s="4">
        <f t="shared" si="175"/>
        <v>1.00267258976616</v>
      </c>
      <c r="Y207" s="4">
        <f t="shared" si="176"/>
        <v>-0.0730294602120285</v>
      </c>
      <c r="Z207" t="str">
        <f t="shared" si="163"/>
        <v>0,999995081146236+0,0151544817707481i</v>
      </c>
      <c r="AA207" s="4">
        <f t="shared" si="177"/>
        <v>1.00010990427773</v>
      </c>
      <c r="AB207" s="4">
        <f t="shared" si="178"/>
        <v>0.0151533963389145</v>
      </c>
      <c r="AC207" s="67" t="str">
        <f t="shared" si="179"/>
        <v>0,119717554064512-5,51765357824381i</v>
      </c>
      <c r="AD207" s="68">
        <f t="shared" si="180"/>
        <v>14.8371326406583</v>
      </c>
      <c r="AE207" s="31">
        <f t="shared" si="181"/>
        <v>-88.7570378590818</v>
      </c>
      <c r="AF207" s="32" t="str">
        <f t="shared" si="182"/>
        <v>748,315388573934</v>
      </c>
      <c r="AG207" s="32" t="str">
        <f t="shared" si="164"/>
        <v>1+24,2781378457554i</v>
      </c>
      <c r="AH207" s="32">
        <f t="shared" si="183"/>
        <v>24.2987237783695</v>
      </c>
      <c r="AI207" s="32">
        <f t="shared" si="184"/>
        <v>1.52963027603449</v>
      </c>
      <c r="AJ207" s="32" t="str">
        <f t="shared" si="165"/>
        <v>1+0,0764761342141294i</v>
      </c>
      <c r="AK207" s="32">
        <f t="shared" si="185"/>
        <v>1.00292003624633</v>
      </c>
      <c r="AL207" s="32">
        <f t="shared" si="186"/>
        <v>0.0763275624785721</v>
      </c>
      <c r="AM207" s="32" t="str">
        <f t="shared" si="166"/>
        <v>1-0,0130351445195979i</v>
      </c>
      <c r="AN207" s="32">
        <f t="shared" si="187"/>
        <v>1.00008495388774</v>
      </c>
      <c r="AO207" s="32">
        <f t="shared" si="188"/>
        <v>-0.0130344063060282</v>
      </c>
      <c r="AP207" s="30" t="str">
        <f t="shared" si="189"/>
        <v>3,22077979481886-30,7206669746578i</v>
      </c>
      <c r="AQ207" s="32">
        <f t="shared" si="190"/>
        <v>29.7960882658947</v>
      </c>
      <c r="AR207" s="31">
        <f t="shared" si="191"/>
        <v>-84.0149283114583</v>
      </c>
      <c r="AS207" t="str">
        <f t="shared" si="167"/>
        <v>-0,0000504684572142411</v>
      </c>
      <c r="AT207" t="str">
        <f t="shared" si="168"/>
        <v>0,00109593031619355i</v>
      </c>
      <c r="AU207">
        <f t="shared" si="192"/>
        <v>0.00109593031619355</v>
      </c>
      <c r="AV207">
        <f t="shared" si="193"/>
        <v>1.5707963267949</v>
      </c>
      <c r="AW207" t="str">
        <f t="shared" si="169"/>
        <v>1+0,05610962205376i</v>
      </c>
      <c r="AX207">
        <f t="shared" si="194"/>
        <v>1.001572907824</v>
      </c>
      <c r="AY207">
        <f t="shared" si="195"/>
        <v>0.0560508499180861</v>
      </c>
      <c r="AZ207" t="str">
        <f t="shared" si="170"/>
        <v>1+2,68251746286805i</v>
      </c>
      <c r="BA207">
        <f t="shared" si="196"/>
        <v>2.86284822136837</v>
      </c>
      <c r="BB207">
        <f t="shared" si="197"/>
        <v>1.21396973081314</v>
      </c>
      <c r="BC207" s="30" t="str">
        <f t="shared" si="198"/>
        <v>-0,120568572023115+0,0528158473440941i</v>
      </c>
      <c r="BD207" s="32">
        <f t="shared" si="199"/>
        <v>-17.612943133009</v>
      </c>
      <c r="BE207" s="31">
        <f t="shared" si="200"/>
        <v>156.343864893798</v>
      </c>
      <c r="BF207" s="30" t="str">
        <f t="shared" si="201"/>
        <v>0,276985374546461+0,671578596906967i</v>
      </c>
      <c r="BG207" s="68">
        <f t="shared" si="202"/>
        <v>-2.77581049235065</v>
      </c>
      <c r="BH207" s="31">
        <f t="shared" si="203"/>
        <v>67.586827034716</v>
      </c>
      <c r="BI207" s="30" t="str">
        <f t="shared" si="209"/>
        <v>1,23421323658007+3,87405516270425i</v>
      </c>
      <c r="BJ207" s="68">
        <f t="shared" si="204"/>
        <v>12.1831451328857</v>
      </c>
      <c r="BK207" s="31">
        <f t="shared" si="210"/>
        <v>72.3289365823394</v>
      </c>
      <c r="BL207" s="32">
        <f t="shared" si="205"/>
        <v>-2.77581049235065</v>
      </c>
      <c r="BM207" s="31">
        <f t="shared" si="206"/>
        <v>67.586827034716</v>
      </c>
      <c r="BO207">
        <f t="shared" si="207"/>
        <v>0</v>
      </c>
      <c r="BP207">
        <f t="shared" si="208"/>
        <v>0</v>
      </c>
    </row>
    <row r="208" spans="14:68">
      <c r="N208" s="7">
        <v>90</v>
      </c>
      <c r="O208" s="18">
        <f t="shared" si="211"/>
        <v>794.328234724282</v>
      </c>
      <c r="P208" s="86" t="str">
        <f t="shared" si="159"/>
        <v>163,636363636364</v>
      </c>
      <c r="Q208" s="4" t="str">
        <f t="shared" si="160"/>
        <v>1+30,489932033003i</v>
      </c>
      <c r="R208" s="4">
        <f t="shared" si="171"/>
        <v>30.5063264811931</v>
      </c>
      <c r="S208" s="4">
        <f t="shared" si="172"/>
        <v>1.53801036758499</v>
      </c>
      <c r="T208" s="4" t="str">
        <f t="shared" si="161"/>
        <v>1+0,078257492218041i</v>
      </c>
      <c r="U208" s="4">
        <f t="shared" si="173"/>
        <v>1.00305744356356</v>
      </c>
      <c r="V208" s="4">
        <f t="shared" si="174"/>
        <v>0.0780983209314583</v>
      </c>
      <c r="W208" t="str">
        <f t="shared" si="162"/>
        <v>1-0,0748636724024627i</v>
      </c>
      <c r="X208" s="4">
        <f t="shared" si="175"/>
        <v>1.00279836928746</v>
      </c>
      <c r="Y208" s="4">
        <f t="shared" si="176"/>
        <v>-0.0747242812890784</v>
      </c>
      <c r="Z208" t="str">
        <f t="shared" si="163"/>
        <v>0,9999948493278+0,015507474997653i</v>
      </c>
      <c r="AA208" s="4">
        <f t="shared" si="177"/>
        <v>1.00011508360935</v>
      </c>
      <c r="AB208" s="4">
        <f t="shared" si="178"/>
        <v>0.0155063119437132</v>
      </c>
      <c r="AC208" s="67" t="str">
        <f t="shared" si="179"/>
        <v>0,111415615872896-5,39369912749306i</v>
      </c>
      <c r="AD208" s="68">
        <f t="shared" si="180"/>
        <v>14.6395870601209</v>
      </c>
      <c r="AE208" s="31">
        <f t="shared" si="181"/>
        <v>-88.816630908754</v>
      </c>
      <c r="AF208" s="32" t="str">
        <f t="shared" si="182"/>
        <v>748,315388573934</v>
      </c>
      <c r="AG208" s="32" t="str">
        <f t="shared" si="164"/>
        <v>1+24,8436483231876i</v>
      </c>
      <c r="AH208" s="32">
        <f t="shared" si="183"/>
        <v>24.8637660463217</v>
      </c>
      <c r="AI208" s="32">
        <f t="shared" si="184"/>
        <v>1.53056630727615</v>
      </c>
      <c r="AJ208" s="32" t="str">
        <f t="shared" si="165"/>
        <v>1+0,078257492218041i</v>
      </c>
      <c r="AK208" s="32">
        <f t="shared" si="185"/>
        <v>1.00305744356356</v>
      </c>
      <c r="AL208" s="32">
        <f t="shared" si="186"/>
        <v>0.0780983209314583</v>
      </c>
      <c r="AM208" s="32" t="str">
        <f t="shared" si="166"/>
        <v>1-0,0133387720402714i</v>
      </c>
      <c r="AN208" s="32">
        <f t="shared" si="187"/>
        <v>1.00008895746306</v>
      </c>
      <c r="AO208" s="32">
        <f t="shared" si="188"/>
        <v>-0.0133379810339801</v>
      </c>
      <c r="AP208" s="30" t="str">
        <f t="shared" si="189"/>
        <v>3,16397805218153-30,025080715132i</v>
      </c>
      <c r="AQ208" s="32">
        <f t="shared" si="190"/>
        <v>29.5976440544363</v>
      </c>
      <c r="AR208" s="31">
        <f t="shared" si="191"/>
        <v>-83.9844955158886</v>
      </c>
      <c r="AS208" t="str">
        <f t="shared" si="167"/>
        <v>-0,0000504684572142411</v>
      </c>
      <c r="AT208" t="str">
        <f t="shared" si="168"/>
        <v>0,00112145781258889i</v>
      </c>
      <c r="AU208">
        <f t="shared" si="192"/>
        <v>0.00112145781258889</v>
      </c>
      <c r="AV208">
        <f t="shared" si="193"/>
        <v>1.5707963267949</v>
      </c>
      <c r="AW208" t="str">
        <f t="shared" si="169"/>
        <v>1+0,0574165830471342i</v>
      </c>
      <c r="AX208">
        <f t="shared" si="194"/>
        <v>1.00164697573986</v>
      </c>
      <c r="AY208">
        <f t="shared" si="195"/>
        <v>0.0573536131603414</v>
      </c>
      <c r="AZ208" t="str">
        <f t="shared" si="170"/>
        <v>1+2,74500132142363i</v>
      </c>
      <c r="BA208">
        <f t="shared" si="196"/>
        <v>2.92147775186077</v>
      </c>
      <c r="BB208">
        <f t="shared" si="197"/>
        <v>1.22144059727073</v>
      </c>
      <c r="BC208" s="30" t="str">
        <f t="shared" si="198"/>
        <v>-0,120550741524176+0,051924158033196i</v>
      </c>
      <c r="BD208" s="32">
        <f t="shared" si="199"/>
        <v>-17.637500253608</v>
      </c>
      <c r="BE208" s="31">
        <f t="shared" si="200"/>
        <v>156.697271175638</v>
      </c>
      <c r="BF208" s="30" t="str">
        <f t="shared" si="201"/>
        <v>0,266632050768611+0,65599959142354i</v>
      </c>
      <c r="BG208" s="68">
        <f t="shared" si="202"/>
        <v>-2.99791319348706</v>
      </c>
      <c r="BH208" s="31">
        <f t="shared" si="203"/>
        <v>67.8806402668834</v>
      </c>
      <c r="BI208" s="30" t="str">
        <f t="shared" si="209"/>
        <v>1,17760713565528+3,78383264092744i</v>
      </c>
      <c r="BJ208" s="68">
        <f t="shared" si="204"/>
        <v>11.9601438008283</v>
      </c>
      <c r="BK208" s="31">
        <f t="shared" si="210"/>
        <v>72.7127756597489</v>
      </c>
      <c r="BL208" s="32">
        <f t="shared" si="205"/>
        <v>-2.99791319348706</v>
      </c>
      <c r="BM208" s="31">
        <f t="shared" si="206"/>
        <v>67.8806402668834</v>
      </c>
      <c r="BO208">
        <f t="shared" si="207"/>
        <v>0</v>
      </c>
      <c r="BP208">
        <f t="shared" si="208"/>
        <v>0</v>
      </c>
    </row>
    <row r="209" spans="14:68">
      <c r="N209" s="7">
        <v>91</v>
      </c>
      <c r="O209" s="18">
        <f t="shared" si="211"/>
        <v>812.8305161641</v>
      </c>
      <c r="P209" s="86" t="str">
        <f t="shared" si="159"/>
        <v>163,636363636364</v>
      </c>
      <c r="Q209" s="4" t="str">
        <f t="shared" si="160"/>
        <v>1+31,2001337844884i</v>
      </c>
      <c r="R209" s="4">
        <f t="shared" si="171"/>
        <v>31.2161552432386</v>
      </c>
      <c r="S209" s="4">
        <f t="shared" si="172"/>
        <v>1.53875615054056</v>
      </c>
      <c r="T209" s="4" t="str">
        <f t="shared" si="161"/>
        <v>1+0,0800803433801869i</v>
      </c>
      <c r="U209" s="4">
        <f t="shared" si="173"/>
        <v>1.00320130651624</v>
      </c>
      <c r="V209" s="4">
        <f t="shared" si="174"/>
        <v>0.0799098176547043</v>
      </c>
      <c r="W209" t="str">
        <f t="shared" si="162"/>
        <v>1-0,0766074713458421i</v>
      </c>
      <c r="X209" s="4">
        <f t="shared" si="175"/>
        <v>1.00293005970806</v>
      </c>
      <c r="Y209" s="4">
        <f t="shared" si="176"/>
        <v>-0.0764581346338608</v>
      </c>
      <c r="Z209" t="str">
        <f t="shared" si="163"/>
        <v>0,999994606584098+0,0158686904930673i</v>
      </c>
      <c r="AA209" s="4">
        <f t="shared" si="177"/>
        <v>1.00012050700666</v>
      </c>
      <c r="AB209" s="4">
        <f t="shared" si="178"/>
        <v>0.0158674442664235</v>
      </c>
      <c r="AC209" s="67" t="str">
        <f t="shared" si="179"/>
        <v>0,103484583572719-5,27258002875857i</v>
      </c>
      <c r="AD209" s="68">
        <f t="shared" si="180"/>
        <v>14.44213625833</v>
      </c>
      <c r="AE209" s="31">
        <f t="shared" si="181"/>
        <v>-88.8756038445849</v>
      </c>
      <c r="AF209" s="32" t="str">
        <f t="shared" si="182"/>
        <v>748,315388573934</v>
      </c>
      <c r="AG209" s="32" t="str">
        <f t="shared" si="164"/>
        <v>1+25,4223312318054i</v>
      </c>
      <c r="AH209" s="32">
        <f t="shared" si="183"/>
        <v>25.4419913776345</v>
      </c>
      <c r="AI209" s="32">
        <f t="shared" si="184"/>
        <v>1.531481100006</v>
      </c>
      <c r="AJ209" s="32" t="str">
        <f t="shared" si="165"/>
        <v>1+0,0800803433801869i</v>
      </c>
      <c r="AK209" s="32">
        <f t="shared" si="185"/>
        <v>1.00320130651624</v>
      </c>
      <c r="AL209" s="32">
        <f t="shared" si="186"/>
        <v>0.0799098176547043</v>
      </c>
      <c r="AM209" s="32" t="str">
        <f t="shared" si="166"/>
        <v>1-0,0136494719544401i</v>
      </c>
      <c r="AN209" s="32">
        <f t="shared" si="187"/>
        <v>1.00009314970388</v>
      </c>
      <c r="AO209" s="32">
        <f t="shared" si="188"/>
        <v>-0.013648624380192</v>
      </c>
      <c r="AP209" s="30" t="str">
        <f t="shared" si="189"/>
        <v>3,10972472392952-29,3452086072082i</v>
      </c>
      <c r="AQ209" s="32">
        <f t="shared" si="190"/>
        <v>29.3992423356187</v>
      </c>
      <c r="AR209" s="31">
        <f t="shared" si="191"/>
        <v>-83.9509167142665</v>
      </c>
      <c r="AS209" t="str">
        <f t="shared" si="167"/>
        <v>-0,0000504684572142411</v>
      </c>
      <c r="AT209" t="str">
        <f t="shared" si="168"/>
        <v>0,00114757992076071i</v>
      </c>
      <c r="AU209">
        <f t="shared" si="192"/>
        <v>0.00114757992076071</v>
      </c>
      <c r="AV209">
        <f t="shared" si="193"/>
        <v>1.5707963267949</v>
      </c>
      <c r="AW209" t="str">
        <f t="shared" si="169"/>
        <v>1+0,0587539870728384i</v>
      </c>
      <c r="AX209">
        <f t="shared" si="194"/>
        <v>1.00172452849921</v>
      </c>
      <c r="AY209">
        <f t="shared" si="195"/>
        <v>0.0586865198955548</v>
      </c>
      <c r="AZ209" t="str">
        <f t="shared" si="170"/>
        <v>1+2,80894061601421i</v>
      </c>
      <c r="BA209">
        <f t="shared" si="196"/>
        <v>2.98163501862557</v>
      </c>
      <c r="BB209">
        <f t="shared" si="197"/>
        <v>1.22878091192079</v>
      </c>
      <c r="BC209" s="30" t="str">
        <f t="shared" si="198"/>
        <v>-0,120532076351303+0,0510599034074159i</v>
      </c>
      <c r="BD209" s="32">
        <f t="shared" si="199"/>
        <v>-17.6611347922652</v>
      </c>
      <c r="BE209" s="31">
        <f t="shared" si="200"/>
        <v>157.041470294972</v>
      </c>
      <c r="BF209" s="30" t="str">
        <f t="shared" si="201"/>
        <v>0,256744215247913+0,640798931436063i</v>
      </c>
      <c r="BG209" s="68">
        <f t="shared" si="202"/>
        <v>-3.21899853393516</v>
      </c>
      <c r="BH209" s="31">
        <f t="shared" si="203"/>
        <v>68.1658664503873</v>
      </c>
      <c r="BI209" s="30" t="str">
        <f t="shared" si="209"/>
        <v>1,12354193909831+3,69582116841643i</v>
      </c>
      <c r="BJ209" s="68">
        <f t="shared" si="204"/>
        <v>11.7381075433536</v>
      </c>
      <c r="BK209" s="31">
        <f t="shared" si="210"/>
        <v>73.0905535807058</v>
      </c>
      <c r="BL209" s="32">
        <f t="shared" si="205"/>
        <v>-3.21899853393516</v>
      </c>
      <c r="BM209" s="31">
        <f t="shared" si="206"/>
        <v>68.1658664503873</v>
      </c>
      <c r="BO209">
        <f t="shared" si="207"/>
        <v>0</v>
      </c>
      <c r="BP209">
        <f t="shared" si="208"/>
        <v>0</v>
      </c>
    </row>
    <row r="210" spans="14:68">
      <c r="N210" s="7">
        <v>92</v>
      </c>
      <c r="O210" s="18">
        <f t="shared" si="211"/>
        <v>831.763771102671</v>
      </c>
      <c r="P210" s="86" t="str">
        <f t="shared" si="159"/>
        <v>163,636363636364</v>
      </c>
      <c r="Q210" s="4" t="str">
        <f t="shared" si="160"/>
        <v>1+31,926878259889i</v>
      </c>
      <c r="R210" s="4">
        <f t="shared" si="171"/>
        <v>31.9425352065514</v>
      </c>
      <c r="S210" s="4">
        <f t="shared" si="172"/>
        <v>1.53948499185628</v>
      </c>
      <c r="T210" s="4" t="str">
        <f t="shared" si="161"/>
        <v>1+0,0819456542003818i</v>
      </c>
      <c r="U210" s="4">
        <f t="shared" si="173"/>
        <v>1.00335192741247</v>
      </c>
      <c r="V210" s="4">
        <f t="shared" si="174"/>
        <v>0.0817629655456038</v>
      </c>
      <c r="W210" t="str">
        <f t="shared" si="162"/>
        <v>1-0,0783918885845489i</v>
      </c>
      <c r="X210" s="4">
        <f t="shared" si="175"/>
        <v>1.00306793797621</v>
      </c>
      <c r="Y210" s="4">
        <f t="shared" si="176"/>
        <v>-0.0782318978359036</v>
      </c>
      <c r="Z210" t="str">
        <f t="shared" si="163"/>
        <v>0,999994352400237+0,016238319778228i</v>
      </c>
      <c r="AA210" s="4">
        <f t="shared" si="177"/>
        <v>1.00012618596935</v>
      </c>
      <c r="AB210" s="4">
        <f t="shared" si="178"/>
        <v>0.0162369844314152</v>
      </c>
      <c r="AC210" s="67" t="str">
        <f t="shared" si="179"/>
        <v>0,0959077401350142-5,15423368808369i</v>
      </c>
      <c r="AD210" s="68">
        <f t="shared" si="180"/>
        <v>14.2447855506651</v>
      </c>
      <c r="AE210" s="31">
        <f t="shared" si="181"/>
        <v>-88.9339880600957</v>
      </c>
      <c r="AF210" s="32" t="str">
        <f t="shared" si="182"/>
        <v>748,315388573934</v>
      </c>
      <c r="AG210" s="32" t="str">
        <f t="shared" si="164"/>
        <v>1+26,0144933969466i</v>
      </c>
      <c r="AH210" s="32">
        <f t="shared" si="183"/>
        <v>26.0337063573318</v>
      </c>
      <c r="AI210" s="32">
        <f t="shared" si="184"/>
        <v>1.53237513313145</v>
      </c>
      <c r="AJ210" s="32" t="str">
        <f t="shared" si="165"/>
        <v>1+0,0819456542003818i</v>
      </c>
      <c r="AK210" s="32">
        <f t="shared" si="185"/>
        <v>1.00335192741247</v>
      </c>
      <c r="AL210" s="32">
        <f t="shared" si="186"/>
        <v>0.0817629655456038</v>
      </c>
      <c r="AM210" s="32" t="str">
        <f t="shared" si="166"/>
        <v>1-0,0139674089993113i</v>
      </c>
      <c r="AN210" s="32">
        <f t="shared" si="187"/>
        <v>1.0000975395001</v>
      </c>
      <c r="AO210" s="32">
        <f t="shared" si="188"/>
        <v>-0.0139665008119257</v>
      </c>
      <c r="AP210" s="30" t="str">
        <f t="shared" si="189"/>
        <v>3,05790582231621-28,6807038509165i</v>
      </c>
      <c r="AQ210" s="32">
        <f t="shared" si="190"/>
        <v>29.2008864471794</v>
      </c>
      <c r="AR210" s="31">
        <f t="shared" si="191"/>
        <v>-83.9141764640824</v>
      </c>
      <c r="AS210" t="str">
        <f t="shared" si="167"/>
        <v>-0,0000504684572142411</v>
      </c>
      <c r="AT210" t="str">
        <f t="shared" si="168"/>
        <v>0,00117431049099654i</v>
      </c>
      <c r="AU210">
        <f t="shared" si="192"/>
        <v>0.00117431049099654</v>
      </c>
      <c r="AV210">
        <f t="shared" si="193"/>
        <v>1.5707963267949</v>
      </c>
      <c r="AW210" t="str">
        <f t="shared" si="169"/>
        <v>1+0,0601225432401895i</v>
      </c>
      <c r="AX210">
        <f t="shared" si="194"/>
        <v>1.00180572977283</v>
      </c>
      <c r="AY210">
        <f t="shared" si="195"/>
        <v>0.0600502578930376</v>
      </c>
      <c r="AZ210" t="str">
        <f t="shared" si="170"/>
        <v>1+2,87436924810012i</v>
      </c>
      <c r="BA210">
        <f t="shared" si="196"/>
        <v>3.04335317937693</v>
      </c>
      <c r="BB210">
        <f t="shared" si="197"/>
        <v>1.23599140174844</v>
      </c>
      <c r="BC210" s="30" t="str">
        <f t="shared" si="198"/>
        <v>-0,120512537709898+0,0502226183959153i</v>
      </c>
      <c r="BD210" s="32">
        <f t="shared" si="199"/>
        <v>-17.6838813659926</v>
      </c>
      <c r="BE210" s="31">
        <f t="shared" si="200"/>
        <v>157.376464498701</v>
      </c>
      <c r="BF210" s="30" t="str">
        <f t="shared" si="201"/>
        <v>0,247301026490306+0,625966519534828i</v>
      </c>
      <c r="BG210" s="68">
        <f t="shared" si="202"/>
        <v>-3.43909581532757</v>
      </c>
      <c r="BH210" s="31">
        <f t="shared" si="203"/>
        <v>68.4424764386051</v>
      </c>
      <c r="BI210" s="30" t="str">
        <f t="shared" si="209"/>
        <v>1,07190405410564+3,60996044158483i</v>
      </c>
      <c r="BJ210" s="68">
        <f t="shared" si="204"/>
        <v>11.5170050811868</v>
      </c>
      <c r="BK210" s="31">
        <f t="shared" si="210"/>
        <v>73.4622880346184</v>
      </c>
      <c r="BL210" s="32">
        <f t="shared" si="205"/>
        <v>-3.43909581532757</v>
      </c>
      <c r="BM210" s="31">
        <f t="shared" si="206"/>
        <v>68.4424764386051</v>
      </c>
      <c r="BO210">
        <f t="shared" si="207"/>
        <v>0</v>
      </c>
      <c r="BP210">
        <f t="shared" si="208"/>
        <v>0</v>
      </c>
    </row>
    <row r="211" spans="14:68">
      <c r="N211" s="7">
        <v>93</v>
      </c>
      <c r="O211" s="18">
        <f t="shared" si="211"/>
        <v>851.138038202378</v>
      </c>
      <c r="P211" s="86" t="str">
        <f t="shared" ref="P211:P274" si="212">COMPLEX(Adc,0)</f>
        <v>163,636363636364</v>
      </c>
      <c r="Q211" s="4" t="str">
        <f t="shared" ref="Q211:Q274" si="213">IMSUM(COMPLEX(1,0),IMDIV(COMPLEX(0,2*PI()*O211),COMPLEX(wp_lf,0)))</f>
        <v>1+32,6705507887452i</v>
      </c>
      <c r="R211" s="4">
        <f t="shared" si="171"/>
        <v>32.6858515085653</v>
      </c>
      <c r="S211" s="4">
        <f t="shared" si="172"/>
        <v>1.54019727487436</v>
      </c>
      <c r="T211" s="4" t="str">
        <f t="shared" ref="T211:T274" si="214">IMSUM(COMPLEX(1,0),IMDIV(COMPLEX(0,2*PI()*O211),COMPLEX(wz_esr,0)))</f>
        <v>1+0,0838544136911127i</v>
      </c>
      <c r="U211" s="4">
        <f t="shared" si="173"/>
        <v>1.00350962262226</v>
      </c>
      <c r="V211" s="4">
        <f t="shared" si="174"/>
        <v>0.0836586962273156</v>
      </c>
      <c r="W211" t="str">
        <f t="shared" ref="W211:W274" si="215">IMSUB(COMPLEX(1,0),IMDIV(COMPLEX(0,2*PI()*O211),COMPLEX(wz_rhp,0)))</f>
        <v>1-0,0802178702402227i</v>
      </c>
      <c r="X211" s="4">
        <f t="shared" si="175"/>
        <v>1.00321229393677</v>
      </c>
      <c r="Y211" s="4">
        <f t="shared" si="176"/>
        <v>-0.0800464666975693</v>
      </c>
      <c r="Z211" t="str">
        <f t="shared" ref="Z211:Z274" si="216">IMSUM(COMPLEX(1,0),IMDIV(COMPLEX(0,2*PI()*O211),COMPLEX(Q*(wsl/2),0)),IMDIV(IMPOWER(COMPLEX(0,2*PI()*O211),2),IMPOWER(COMPLEX(wsl/2,0),2)))</f>
        <v>0,999994086237061+0,0166165588354747i</v>
      </c>
      <c r="AA211" s="4">
        <f t="shared" si="177"/>
        <v>1.00013213253881</v>
      </c>
      <c r="AB211" s="4">
        <f t="shared" si="178"/>
        <v>0.0166151279957898</v>
      </c>
      <c r="AC211" s="67" t="str">
        <f t="shared" si="179"/>
        <v>0,0886691105382514-5,03859887326208i</v>
      </c>
      <c r="AD211" s="68">
        <f t="shared" si="180"/>
        <v>14.0475404562939</v>
      </c>
      <c r="AE211" s="31">
        <f t="shared" si="181"/>
        <v>-88.9918146713929</v>
      </c>
      <c r="AF211" s="32" t="str">
        <f t="shared" si="182"/>
        <v>748,315388573934</v>
      </c>
      <c r="AG211" s="32" t="str">
        <f t="shared" ref="AG211:AG274" si="217">IMSUM(COMPLEX(1,0),IMDIV(COMPLEX(0,2*PI()*O211),COMPLEX(wp_lf_DCM,0)))</f>
        <v>1+26,6204487908294i</v>
      </c>
      <c r="AH211" s="32">
        <f t="shared" si="183"/>
        <v>26.6392247226748</v>
      </c>
      <c r="AI211" s="32">
        <f t="shared" si="184"/>
        <v>1.53324887496066</v>
      </c>
      <c r="AJ211" s="32" t="str">
        <f t="shared" ref="AJ211:AJ274" si="218">IMSUM(COMPLEX(1,0),IMDIV(COMPLEX(0,2*PI()*O211),COMPLEX(wz1_dcm,0)))</f>
        <v>1+0,0838544136911127i</v>
      </c>
      <c r="AK211" s="32">
        <f t="shared" si="185"/>
        <v>1.00350962262226</v>
      </c>
      <c r="AL211" s="32">
        <f t="shared" si="186"/>
        <v>0.0836586962273156</v>
      </c>
      <c r="AM211" s="32" t="str">
        <f t="shared" ref="AM211:AM274" si="219">IMSUB(COMPLEX(1,0),IMDIV(COMPLEX(0,2*PI()*O211),COMPLEX(wz2_dcm,0)))</f>
        <v>1-0,0142927517493144i</v>
      </c>
      <c r="AN211" s="32">
        <f t="shared" si="187"/>
        <v>1.00010213616039</v>
      </c>
      <c r="AO211" s="32">
        <f t="shared" si="188"/>
        <v>-0.0142917786143654</v>
      </c>
      <c r="AP211" s="30" t="str">
        <f t="shared" si="189"/>
        <v>3,00841242764203-28,031226885914i</v>
      </c>
      <c r="AQ211" s="32">
        <f t="shared" si="190"/>
        <v>29.0025798196382</v>
      </c>
      <c r="AR211" s="31">
        <f t="shared" si="191"/>
        <v>-83.8742578613736</v>
      </c>
      <c r="AS211" t="str">
        <f t="shared" ref="AS211:AS274" si="220">COMPLEX(Adc_ea,0)</f>
        <v>-0,0000504684572142411</v>
      </c>
      <c r="AT211" t="str">
        <f t="shared" ref="AT211:AT274" si="221">COMPLEX(0,2*PI()*O211*wp0_ea)</f>
        <v>0,00120166369619853i</v>
      </c>
      <c r="AU211">
        <f t="shared" si="192"/>
        <v>0.00120166369619853</v>
      </c>
      <c r="AV211">
        <f t="shared" si="193"/>
        <v>1.5707963267949</v>
      </c>
      <c r="AW211" t="str">
        <f t="shared" ref="AW211:AW274" si="222">IMSUM(COMPLEX(1,0),IMDIV(COMPLEX(0,2*PI()*O211),COMPLEX(wp1_ea,0)))</f>
        <v>1+0,0615229771757827i</v>
      </c>
      <c r="AX211">
        <f t="shared" si="194"/>
        <v>1.00189075089082</v>
      </c>
      <c r="AY211">
        <f t="shared" si="195"/>
        <v>0.0614455299232241</v>
      </c>
      <c r="AZ211" t="str">
        <f t="shared" ref="AZ211:AZ274" si="223">IMSUM(COMPLEX(1,0),IMDIV(COMPLEX(0,2*PI()*O211),COMPLEX(wz_ea,0)))</f>
        <v>1+2,94132190880816i</v>
      </c>
      <c r="BA211">
        <f t="shared" si="196"/>
        <v>3.10666615059212</v>
      </c>
      <c r="BB211">
        <f t="shared" si="197"/>
        <v>1.24307288985392</v>
      </c>
      <c r="BC211" s="30" t="str">
        <f t="shared" si="198"/>
        <v>-0,120492085028939+0,0494118517447241i</v>
      </c>
      <c r="BD211" s="32">
        <f t="shared" si="199"/>
        <v>-17.7057738759898</v>
      </c>
      <c r="BE211" s="31">
        <f t="shared" si="200"/>
        <v>157.702260681215</v>
      </c>
      <c r="BF211" s="30" t="str">
        <f t="shared" si="201"/>
        <v>0,238282574520344+0,611492588808063i</v>
      </c>
      <c r="BG211" s="68">
        <f t="shared" si="202"/>
        <v>-3.65823341969588</v>
      </c>
      <c r="BH211" s="31">
        <f t="shared" si="203"/>
        <v>68.7104460098219</v>
      </c>
      <c r="BI211" s="30" t="str">
        <f t="shared" si="209"/>
        <v>1,02258494107595+3,52619220226466i</v>
      </c>
      <c r="BJ211" s="68">
        <f t="shared" si="204"/>
        <v>11.2968059436484</v>
      </c>
      <c r="BK211" s="31">
        <f t="shared" si="210"/>
        <v>73.8280028198411</v>
      </c>
      <c r="BL211" s="32">
        <f t="shared" si="205"/>
        <v>-3.65823341969588</v>
      </c>
      <c r="BM211" s="31">
        <f t="shared" si="206"/>
        <v>68.7104460098219</v>
      </c>
      <c r="BO211">
        <f t="shared" si="207"/>
        <v>0</v>
      </c>
      <c r="BP211">
        <f t="shared" si="208"/>
        <v>0</v>
      </c>
    </row>
    <row r="212" spans="14:68">
      <c r="N212" s="7">
        <v>94</v>
      </c>
      <c r="O212" s="18">
        <f t="shared" si="211"/>
        <v>870.963589956081</v>
      </c>
      <c r="P212" s="86" t="str">
        <f t="shared" si="212"/>
        <v>163,636363636364</v>
      </c>
      <c r="Q212" s="4" t="str">
        <f t="shared" si="213"/>
        <v>1+33,4315456760754i</v>
      </c>
      <c r="R212" s="4">
        <f t="shared" ref="R212:R275" si="224">IMABS(Q212)</f>
        <v>33.4464982665079</v>
      </c>
      <c r="S212" s="4">
        <f t="shared" ref="S212:S275" si="225">IMARGUMENT(Q212)</f>
        <v>1.54089337436402</v>
      </c>
      <c r="T212" s="4" t="str">
        <f t="shared" si="214"/>
        <v>1+0,0858076339019268i</v>
      </c>
      <c r="U212" s="4">
        <f t="shared" ref="U212:U275" si="226">IMABS(T212)</f>
        <v>1.00367472322254</v>
      </c>
      <c r="V212" s="4">
        <f t="shared" ref="V212:V275" si="227">IMARGUMENT(T212)</f>
        <v>0.0855979603080713</v>
      </c>
      <c r="W212" t="str">
        <f t="shared" si="215"/>
        <v>1-0,0820863844725065i</v>
      </c>
      <c r="X212" s="4">
        <f t="shared" ref="X212:X275" si="228">IMABS(W212)</f>
        <v>1.00336343092409</v>
      </c>
      <c r="Y212" s="4">
        <f t="shared" ref="Y212:Y275" si="229">IMARGUMENT(W212)</f>
        <v>-0.0819027555025455</v>
      </c>
      <c r="Z212" t="str">
        <f t="shared" si="216"/>
        <v>0,99999380753+0,0170036082121621i</v>
      </c>
      <c r="AA212" s="4">
        <f t="shared" ref="AA212:AA275" si="230">IMABS(Z212)</f>
        <v>1.00013835932364</v>
      </c>
      <c r="AB212" s="4">
        <f t="shared" ref="AB212:AB275" si="231">IMARGUMENT(Z212)</f>
        <v>0.0170020750512662</v>
      </c>
      <c r="AC212" s="67" t="str">
        <f t="shared" ref="AC212:AC275" si="232">(IMDIV(IMPRODUCT(P212,T212,W212),IMPRODUCT(Q212,Z212)))</f>
        <v>0,0817534286980882-4,92561568854688i</v>
      </c>
      <c r="AD212" s="68">
        <f t="shared" ref="AD212:AD275" si="233">20*LOG(IMABS(AC212))</f>
        <v>13.8504067090462</v>
      </c>
      <c r="AE212" s="31">
        <f t="shared" ref="AE212:AE275" si="234">(180/PI())*IMARGUMENT(AC212)</f>
        <v>-89.0491145343396</v>
      </c>
      <c r="AF212" s="32" t="str">
        <f t="shared" ref="AF212:AF275" si="235">COMPLEX($B$68,0)</f>
        <v>748,315388573934</v>
      </c>
      <c r="AG212" s="32" t="str">
        <f t="shared" si="217"/>
        <v>1+27,2405186990244i</v>
      </c>
      <c r="AH212" s="32">
        <f t="shared" ref="AH212:AH275" si="236">IMABS(AG212)</f>
        <v>27.2588675295196</v>
      </c>
      <c r="AI212" s="32">
        <f t="shared" ref="AI212:AI275" si="237">IMARGUMENT(AG212)</f>
        <v>1.53410278342377</v>
      </c>
      <c r="AJ212" s="32" t="str">
        <f t="shared" si="218"/>
        <v>1+0,0858076339019268i</v>
      </c>
      <c r="AK212" s="32">
        <f t="shared" ref="AK212:AK275" si="238">IMABS(AJ212)</f>
        <v>1.00367472322254</v>
      </c>
      <c r="AL212" s="32">
        <f t="shared" ref="AL212:AL275" si="239">IMARGUMENT(AJ212)</f>
        <v>0.0855979603080713</v>
      </c>
      <c r="AM212" s="32" t="str">
        <f t="shared" si="219"/>
        <v>1-0,0146256727054819i</v>
      </c>
      <c r="AN212" s="32">
        <f t="shared" ref="AN212:AN275" si="240">IMABS(AM212)</f>
        <v>1.00010694943195</v>
      </c>
      <c r="AO212" s="32">
        <f t="shared" ref="AO212:AO275" si="241">IMARGUMENT(AM212)</f>
        <v>-0.0146246299786197</v>
      </c>
      <c r="AP212" s="30" t="str">
        <f t="shared" ref="AP212:AP275" si="242">(IMDIV(IMPRODUCT(AF212,AJ212,AM212),IMPRODUCT(AG212)))</f>
        <v>2,96114046560507-27,3964452715805i</v>
      </c>
      <c r="AQ212" s="32">
        <f t="shared" ref="AQ212:AQ275" si="243">20*LOG(IMABS(AP212))</f>
        <v>28.804325983101</v>
      </c>
      <c r="AR212" s="31">
        <f t="shared" ref="AR212:AR275" si="244">(180/PI())*IMARGUMENT(AP212)</f>
        <v>-83.831142543589</v>
      </c>
      <c r="AS212" t="str">
        <f t="shared" si="220"/>
        <v>-0,0000504684572142411</v>
      </c>
      <c r="AT212" t="str">
        <f t="shared" si="221"/>
        <v>0,00122965403939815i</v>
      </c>
      <c r="AU212">
        <f t="shared" ref="AU212:AU275" si="245">IMABS(AT212)</f>
        <v>0.00122965403939815</v>
      </c>
      <c r="AV212">
        <f t="shared" ref="AV212:AV275" si="246">IMARGUMENT(AT212)</f>
        <v>1.5707963267949</v>
      </c>
      <c r="AW212" t="str">
        <f t="shared" si="222"/>
        <v>1+0,062956031408227i</v>
      </c>
      <c r="AX212">
        <f t="shared" ref="AX212:AX275" si="247">IMABS(AW212)</f>
        <v>1.00197977119834</v>
      </c>
      <c r="AY212">
        <f t="shared" ref="AY212:AY275" si="248">IMARGUMENT(AW212)</f>
        <v>0.0628730540351938</v>
      </c>
      <c r="AZ212" t="str">
        <f t="shared" si="223"/>
        <v>1+3,00983409732523i</v>
      </c>
      <c r="BA212">
        <f t="shared" ref="BA212:BA275" si="249">IMABS(AZ212)</f>
        <v>3.17160862866489</v>
      </c>
      <c r="BB212">
        <f t="shared" ref="BB212:BB275" si="250">IMARGUMENT(AZ212)</f>
        <v>1.25002628906672</v>
      </c>
      <c r="BC212" s="30" t="str">
        <f t="shared" ref="BC212:BC275" si="251">IMPRODUCT(AS212,IMDIV(AZ212,IMPRODUCT(AT212,AW212)))</f>
        <v>-0,120470675882191+0,0486271657436511i</v>
      </c>
      <c r="BD212" s="32">
        <f t="shared" ref="BD212:BD275" si="252">20*LOG(IMABS(BC212))</f>
        <v>-17.7268454984506</v>
      </c>
      <c r="BE212" s="31">
        <f t="shared" ref="BE212:BE275" si="253">(180/PI())*IMARGUMENT(BC212)</f>
        <v>158.018870002609</v>
      </c>
      <c r="BF212" s="30" t="str">
        <f t="shared" ref="BF212:BF275" si="254">IMPRODUCT(AC212,BC212)</f>
        <v>0,229669839665552+0,59736768866258i</v>
      </c>
      <c r="BG212" s="68">
        <f t="shared" ref="BG212:BG275" si="255">20*LOG(IMABS(BF212))</f>
        <v>-3.87643878940441</v>
      </c>
      <c r="BH212" s="31">
        <f t="shared" ref="BH212:BH275" si="256">(180/PI())*IMARGUMENT(BF212)</f>
        <v>68.9697554682691</v>
      </c>
      <c r="BI212" s="30" t="str">
        <f t="shared" si="209"/>
        <v>0,975480891734463+3,44446014684797i</v>
      </c>
      <c r="BJ212" s="68">
        <f t="shared" ref="BJ212:BJ275" si="257">20*LOG(IMABS(BI212))</f>
        <v>11.0774804846504</v>
      </c>
      <c r="BK212" s="31">
        <f t="shared" si="210"/>
        <v>74.1877274590197</v>
      </c>
      <c r="BL212" s="32">
        <f t="shared" ref="BL212:BL275" si="258">IF($B$31=0,BJ212,BG212)</f>
        <v>-3.87643878940441</v>
      </c>
      <c r="BM212" s="31">
        <f t="shared" ref="BM212:BM275" si="259">IF($B$31=0,BK212,BH212)</f>
        <v>68.9697554682691</v>
      </c>
      <c r="BO212">
        <f t="shared" ref="BO212:BO275" si="260">SUM((BL213&lt;0)*(BL212&gt;0))*O212</f>
        <v>0</v>
      </c>
      <c r="BP212">
        <f t="shared" ref="BP212:BP275" si="261">IF(BO212&gt;0,BM212,0)</f>
        <v>0</v>
      </c>
    </row>
    <row r="213" spans="14:68">
      <c r="N213" s="7">
        <v>95</v>
      </c>
      <c r="O213" s="18">
        <f t="shared" si="211"/>
        <v>891.250938133747</v>
      </c>
      <c r="P213" s="86" t="str">
        <f t="shared" si="212"/>
        <v>163,636363636364</v>
      </c>
      <c r="Q213" s="4" t="str">
        <f t="shared" si="213"/>
        <v>1+34,2102664114419i</v>
      </c>
      <c r="R213" s="4">
        <f t="shared" si="224"/>
        <v>34.2248787863716</v>
      </c>
      <c r="S213" s="4">
        <f t="shared" si="225"/>
        <v>1.54157365670651</v>
      </c>
      <c r="T213" s="4" t="str">
        <f t="shared" si="214"/>
        <v>1+0,0878063504560343i</v>
      </c>
      <c r="U213" s="4">
        <f t="shared" si="226"/>
        <v>1.00384757567093</v>
      </c>
      <c r="V213" s="4">
        <f t="shared" si="227"/>
        <v>0.087581727634311</v>
      </c>
      <c r="W213" t="str">
        <f t="shared" si="215"/>
        <v>1-0,0839984219923798i</v>
      </c>
      <c r="X213" s="4">
        <f t="shared" si="228"/>
        <v>1.00352166638155</v>
      </c>
      <c r="Y213" s="4">
        <f t="shared" si="229"/>
        <v>-0.083801697279892</v>
      </c>
      <c r="Z213" t="str">
        <f t="shared" si="216"/>
        <v>0,99999351568788+0,0173996731269929i</v>
      </c>
      <c r="AA213" s="4">
        <f t="shared" si="230"/>
        <v>1.00014487952633</v>
      </c>
      <c r="AB213" s="4">
        <f t="shared" si="231"/>
        <v>0.0173980303283408</v>
      </c>
      <c r="AC213" s="67" t="str">
        <f t="shared" si="232"/>
        <v>0,0751461058295653-4,81522554959157i</v>
      </c>
      <c r="AD213" s="68">
        <f t="shared" si="233"/>
        <v>13.6533902686638</v>
      </c>
      <c r="AE213" s="31">
        <f t="shared" si="234"/>
        <v>-89.1059182617474</v>
      </c>
      <c r="AF213" s="32" t="str">
        <f t="shared" si="235"/>
        <v>748,315388573934</v>
      </c>
      <c r="AG213" s="32" t="str">
        <f t="shared" si="217"/>
        <v>1+27,8750318908045i</v>
      </c>
      <c r="AH213" s="32">
        <f t="shared" si="236"/>
        <v>27.8929633225545</v>
      </c>
      <c r="AI213" s="32">
        <f t="shared" si="237"/>
        <v>1.53493730629044</v>
      </c>
      <c r="AJ213" s="32" t="str">
        <f t="shared" si="218"/>
        <v>1+0,0878063504560343i</v>
      </c>
      <c r="AK213" s="32">
        <f t="shared" si="238"/>
        <v>1.00384757567093</v>
      </c>
      <c r="AL213" s="32">
        <f t="shared" si="239"/>
        <v>0.087581727634311</v>
      </c>
      <c r="AM213" s="32" t="str">
        <f t="shared" si="219"/>
        <v>1-0,0149663483869115i</v>
      </c>
      <c r="AN213" s="32">
        <f t="shared" si="240"/>
        <v>1.00011198952119</v>
      </c>
      <c r="AO213" s="32">
        <f t="shared" si="241"/>
        <v>-0.0149652310917057</v>
      </c>
      <c r="AP213" s="30" t="str">
        <f t="shared" si="242"/>
        <v>2,9159904941965-26,7760335669285i</v>
      </c>
      <c r="AQ213" s="32">
        <f t="shared" si="243"/>
        <v>28.606128574235</v>
      </c>
      <c r="AR213" s="31">
        <f t="shared" si="244"/>
        <v>-83.7848106927039</v>
      </c>
      <c r="AS213" t="str">
        <f t="shared" si="220"/>
        <v>-0,0000504684572142411</v>
      </c>
      <c r="AT213" t="str">
        <f t="shared" si="221"/>
        <v>0,00125829636144585i</v>
      </c>
      <c r="AU213">
        <f t="shared" si="245"/>
        <v>0.00125829636144585</v>
      </c>
      <c r="AV213">
        <f t="shared" si="246"/>
        <v>1.5707963267949</v>
      </c>
      <c r="AW213" t="str">
        <f t="shared" si="222"/>
        <v>1+0,0644224657618459i</v>
      </c>
      <c r="AX213">
        <f t="shared" si="247"/>
        <v>1.00207297842764</v>
      </c>
      <c r="AY213">
        <f t="shared" si="248"/>
        <v>0.0643335638356387</v>
      </c>
      <c r="AZ213" t="str">
        <f t="shared" si="223"/>
        <v>1+3,07994213972059i</v>
      </c>
      <c r="BA213">
        <f t="shared" si="249"/>
        <v>3.23821611138396</v>
      </c>
      <c r="BB213">
        <f t="shared" si="250"/>
        <v>1.25685259571511</v>
      </c>
      <c r="BC213" s="30" t="str">
        <f t="shared" si="251"/>
        <v>-0,120448265906201+0,047868135958048i</v>
      </c>
      <c r="BD213" s="32">
        <f t="shared" si="252"/>
        <v>-17.7471286785988</v>
      </c>
      <c r="BE213" s="31">
        <f t="shared" si="253"/>
        <v>158.326307515721</v>
      </c>
      <c r="BF213" s="30" t="str">
        <f t="shared" si="254"/>
        <v>0,221444653139741+0,583582671406106i</v>
      </c>
      <c r="BG213" s="68">
        <f t="shared" si="255"/>
        <v>-4.09373840993502</v>
      </c>
      <c r="BH213" s="31">
        <f t="shared" si="256"/>
        <v>69.2203892539735</v>
      </c>
      <c r="BI213" s="30" t="str">
        <f t="shared" si="209"/>
        <v>0,930492816774056+3,36470984041134i</v>
      </c>
      <c r="BJ213" s="68">
        <f t="shared" si="257"/>
        <v>10.8589998956362</v>
      </c>
      <c r="BK213" s="31">
        <f t="shared" si="210"/>
        <v>74.5414968230169</v>
      </c>
      <c r="BL213" s="32">
        <f t="shared" si="258"/>
        <v>-4.09373840993502</v>
      </c>
      <c r="BM213" s="31">
        <f t="shared" si="259"/>
        <v>69.2203892539735</v>
      </c>
      <c r="BO213">
        <f t="shared" si="260"/>
        <v>0</v>
      </c>
      <c r="BP213">
        <f t="shared" si="261"/>
        <v>0</v>
      </c>
    </row>
    <row r="214" spans="14:68">
      <c r="N214" s="7">
        <v>96</v>
      </c>
      <c r="O214" s="18">
        <f t="shared" si="211"/>
        <v>912.01083935591</v>
      </c>
      <c r="P214" s="86" t="str">
        <f t="shared" si="212"/>
        <v>163,636363636364</v>
      </c>
      <c r="Q214" s="4" t="str">
        <f t="shared" si="213"/>
        <v>1+35,0071258828862i</v>
      </c>
      <c r="R214" s="4">
        <f t="shared" si="224"/>
        <v>35.0214057767566</v>
      </c>
      <c r="S214" s="4">
        <f t="shared" si="225"/>
        <v>1.54223848007649</v>
      </c>
      <c r="T214" s="4" t="str">
        <f t="shared" si="214"/>
        <v>1+0,0898516230994079i</v>
      </c>
      <c r="U214" s="4">
        <f t="shared" si="226"/>
        <v>1.00402854250942</v>
      </c>
      <c r="V214" s="4">
        <f t="shared" si="227"/>
        <v>0.0896109875368015</v>
      </c>
      <c r="W214" t="str">
        <f t="shared" si="215"/>
        <v>1-0,0859549965874438i</v>
      </c>
      <c r="X214" s="4">
        <f t="shared" si="228"/>
        <v>1.00368733250866</v>
      </c>
      <c r="Y214" s="4">
        <f t="shared" si="229"/>
        <v>-0.0857442440628247</v>
      </c>
      <c r="Z214" t="str">
        <f t="shared" si="216"/>
        <v>0,999993210091664+0,0178049635788276i</v>
      </c>
      <c r="AA214" s="4">
        <f t="shared" si="230"/>
        <v>1.00015170697123</v>
      </c>
      <c r="AB214" s="4">
        <f t="shared" si="231"/>
        <v>0.0178032033027704</v>
      </c>
      <c r="AC214" s="67" t="str">
        <f t="shared" si="232"/>
        <v>0,0688332001809226-4,70737115864173i</v>
      </c>
      <c r="AD214" s="68">
        <f t="shared" si="233"/>
        <v>13.4564973324475</v>
      </c>
      <c r="AE214" s="31">
        <f t="shared" si="234"/>
        <v>-89.1622562405975</v>
      </c>
      <c r="AF214" s="32" t="str">
        <f t="shared" si="235"/>
        <v>748,315388573934</v>
      </c>
      <c r="AG214" s="32" t="str">
        <f t="shared" si="217"/>
        <v>1+28,5243247934628i</v>
      </c>
      <c r="AH214" s="32">
        <f t="shared" si="236"/>
        <v>28.5418483095079</v>
      </c>
      <c r="AI214" s="32">
        <f t="shared" si="237"/>
        <v>1.53575288138359</v>
      </c>
      <c r="AJ214" s="32" t="str">
        <f t="shared" si="218"/>
        <v>1+0,0898516230994079i</v>
      </c>
      <c r="AK214" s="32">
        <f t="shared" si="238"/>
        <v>1.00402854250942</v>
      </c>
      <c r="AL214" s="32">
        <f t="shared" si="239"/>
        <v>0.0896109875368015</v>
      </c>
      <c r="AM214" s="32" t="str">
        <f t="shared" si="219"/>
        <v>1-0,0153149594243589i</v>
      </c>
      <c r="AN214" s="32">
        <f t="shared" si="240"/>
        <v>1.0001172671153</v>
      </c>
      <c r="AO214" s="32">
        <f t="shared" si="241"/>
        <v>-0.0153137622285576</v>
      </c>
      <c r="AP214" s="30" t="str">
        <f t="shared" si="242"/>
        <v>2,87286749975244-26,1696732105232i</v>
      </c>
      <c r="AQ214" s="32">
        <f t="shared" si="243"/>
        <v>28.4079913434254</v>
      </c>
      <c r="AR214" s="31">
        <f t="shared" si="244"/>
        <v>-83.7352410386399</v>
      </c>
      <c r="AS214" t="str">
        <f t="shared" si="220"/>
        <v>-0,0000504684572142411</v>
      </c>
      <c r="AT214" t="str">
        <f t="shared" si="221"/>
        <v>0,00128760584887991i</v>
      </c>
      <c r="AU214">
        <f t="shared" si="245"/>
        <v>0.00128760584887991</v>
      </c>
      <c r="AV214">
        <f t="shared" si="246"/>
        <v>1.5707963267949</v>
      </c>
      <c r="AW214" t="str">
        <f t="shared" si="222"/>
        <v>1+0,0659230577595437i</v>
      </c>
      <c r="AX214">
        <f t="shared" si="247"/>
        <v>1.0021705690871</v>
      </c>
      <c r="AY214">
        <f t="shared" si="248"/>
        <v>0.0658278087689565</v>
      </c>
      <c r="AZ214" t="str">
        <f t="shared" si="223"/>
        <v>1+3,15168320820627i</v>
      </c>
      <c r="BA214">
        <f t="shared" si="249"/>
        <v>3.3065249197442</v>
      </c>
      <c r="BB214">
        <f t="shared" si="250"/>
        <v>1.26355288356543</v>
      </c>
      <c r="BC214" s="30" t="str">
        <f t="shared" si="251"/>
        <v>-0,12042480871491+0,0471343509651154i</v>
      </c>
      <c r="BD214" s="32">
        <f t="shared" si="252"/>
        <v>-17.7666551277542</v>
      </c>
      <c r="BE214" s="31">
        <f t="shared" si="253"/>
        <v>158.624591802829</v>
      </c>
      <c r="BF214" s="30" t="str">
        <f t="shared" si="254"/>
        <v>0,213589659349459+0,570128679544894i</v>
      </c>
      <c r="BG214" s="68">
        <f t="shared" si="255"/>
        <v>-4.31015779530671</v>
      </c>
      <c r="BH214" s="31">
        <f t="shared" si="256"/>
        <v>69.4623355622312</v>
      </c>
      <c r="BI214" s="30" t="str">
        <f t="shared" si="209"/>
        <v>0,88752604262621+3,28688863551857i</v>
      </c>
      <c r="BJ214" s="68">
        <f t="shared" si="257"/>
        <v>10.6413362156712</v>
      </c>
      <c r="BK214" s="31">
        <f t="shared" si="210"/>
        <v>74.8893507641889</v>
      </c>
      <c r="BL214" s="32">
        <f t="shared" si="258"/>
        <v>-4.31015779530671</v>
      </c>
      <c r="BM214" s="31">
        <f t="shared" si="259"/>
        <v>69.4623355622312</v>
      </c>
      <c r="BO214">
        <f t="shared" si="260"/>
        <v>0</v>
      </c>
      <c r="BP214">
        <f t="shared" si="261"/>
        <v>0</v>
      </c>
    </row>
    <row r="215" spans="14:68">
      <c r="N215" s="7">
        <v>97</v>
      </c>
      <c r="O215" s="18">
        <f t="shared" si="211"/>
        <v>933.254300796991</v>
      </c>
      <c r="P215" s="86" t="str">
        <f t="shared" si="212"/>
        <v>163,636363636364</v>
      </c>
      <c r="Q215" s="4" t="str">
        <f t="shared" si="213"/>
        <v>1+35,8225465958476i</v>
      </c>
      <c r="R215" s="4">
        <f t="shared" si="224"/>
        <v>35.8365015676987</v>
      </c>
      <c r="S215" s="4">
        <f t="shared" si="225"/>
        <v>1.54288819462001</v>
      </c>
      <c r="T215" s="4" t="str">
        <f t="shared" si="214"/>
        <v>1+0,0919445362626755i</v>
      </c>
      <c r="U215" s="4">
        <f t="shared" si="226"/>
        <v>1.00421800309921</v>
      </c>
      <c r="V215" s="4">
        <f t="shared" si="227"/>
        <v>0.0916867490687297</v>
      </c>
      <c r="W215" t="str">
        <f t="shared" si="215"/>
        <v>1-0,0879571456594472i</v>
      </c>
      <c r="X215" s="4">
        <f t="shared" si="228"/>
        <v>1.003860776937</v>
      </c>
      <c r="Y215" s="4">
        <f t="shared" si="229"/>
        <v>-0.0877313671413625</v>
      </c>
      <c r="Z215" t="str">
        <f t="shared" si="216"/>
        <v>0,999992890093143+0,0182196944580283i</v>
      </c>
      <c r="AA215" s="4">
        <f t="shared" si="230"/>
        <v>1.00015885613385</v>
      </c>
      <c r="AB215" s="4">
        <f t="shared" si="231"/>
        <v>0.0182178083044219</v>
      </c>
      <c r="AC215" s="67" t="str">
        <f t="shared" si="232"/>
        <v>0,0628013880805104-4,60199647999287i</v>
      </c>
      <c r="AD215" s="68">
        <f t="shared" si="233"/>
        <v>13.2597343473145</v>
      </c>
      <c r="AE215" s="31">
        <f t="shared" si="234"/>
        <v>-89.2181586493072</v>
      </c>
      <c r="AF215" s="32" t="str">
        <f t="shared" si="235"/>
        <v>748,315388573934</v>
      </c>
      <c r="AG215" s="32" t="str">
        <f t="shared" si="217"/>
        <v>1+29,1887416706906i</v>
      </c>
      <c r="AH215" s="32">
        <f t="shared" si="236"/>
        <v>29.2058665394182</v>
      </c>
      <c r="AI215" s="32">
        <f t="shared" si="237"/>
        <v>1.53654993678952</v>
      </c>
      <c r="AJ215" s="32" t="str">
        <f t="shared" si="218"/>
        <v>1+0,0919445362626755i</v>
      </c>
      <c r="AK215" s="32">
        <f t="shared" si="238"/>
        <v>1.00421800309921</v>
      </c>
      <c r="AL215" s="32">
        <f t="shared" si="239"/>
        <v>0.0916867490687297</v>
      </c>
      <c r="AM215" s="32" t="str">
        <f t="shared" si="219"/>
        <v>1-0,0156716906560106i</v>
      </c>
      <c r="AN215" s="32">
        <f t="shared" si="240"/>
        <v>1.0001227934049</v>
      </c>
      <c r="AO215" s="32">
        <f t="shared" si="241"/>
        <v>-0.0156704078461038</v>
      </c>
      <c r="AP215" s="30" t="str">
        <f t="shared" si="242"/>
        <v>2,8316807017884-25,5770524005904i</v>
      </c>
      <c r="AQ215" s="32">
        <f t="shared" si="243"/>
        <v>28.2099181621242</v>
      </c>
      <c r="AR215" s="31">
        <f t="shared" si="244"/>
        <v>-83.6824108630503</v>
      </c>
      <c r="AS215" t="str">
        <f t="shared" si="220"/>
        <v>-0,0000504684572142411</v>
      </c>
      <c r="AT215" t="str">
        <f t="shared" si="221"/>
        <v>0,00131759804197852i</v>
      </c>
      <c r="AU215">
        <f t="shared" si="245"/>
        <v>0.00131759804197852</v>
      </c>
      <c r="AV215">
        <f t="shared" si="246"/>
        <v>1.5707963267949</v>
      </c>
      <c r="AW215" t="str">
        <f t="shared" si="222"/>
        <v>1+0,0674586030350604i</v>
      </c>
      <c r="AX215">
        <f t="shared" si="247"/>
        <v>1.00227274886801</v>
      </c>
      <c r="AY215">
        <f t="shared" si="248"/>
        <v>0.0673565543981371</v>
      </c>
      <c r="AZ215" t="str">
        <f t="shared" si="223"/>
        <v>1+3,22509534084639i</v>
      </c>
      <c r="BA215">
        <f t="shared" si="249"/>
        <v>3.37657222009971</v>
      </c>
      <c r="BB215">
        <f t="shared" si="250"/>
        <v>1.27012829794289</v>
      </c>
      <c r="BC215" s="30" t="str">
        <f t="shared" si="251"/>
        <v>-0,120400255810822+0,0464254120944542i</v>
      </c>
      <c r="BD215" s="32">
        <f t="shared" si="252"/>
        <v>-17.7854558232272</v>
      </c>
      <c r="BE215" s="31">
        <f t="shared" si="253"/>
        <v>158.913744622705</v>
      </c>
      <c r="BF215" s="30" t="str">
        <f t="shared" si="254"/>
        <v>0,206088279850729+0,556997133753385i</v>
      </c>
      <c r="BG215" s="68">
        <f t="shared" si="255"/>
        <v>-4.52572147591276</v>
      </c>
      <c r="BH215" s="31">
        <f t="shared" si="256"/>
        <v>69.6955859733982</v>
      </c>
      <c r="BI215" s="30" t="str">
        <f t="shared" si="209"/>
        <v>0,846490116988967+3,21094559541832i</v>
      </c>
      <c r="BJ215" s="68">
        <f t="shared" si="257"/>
        <v>10.424462338897</v>
      </c>
      <c r="BK215" s="31">
        <f t="shared" si="210"/>
        <v>75.2313337596551</v>
      </c>
      <c r="BL215" s="32">
        <f t="shared" si="258"/>
        <v>-4.52572147591276</v>
      </c>
      <c r="BM215" s="31">
        <f t="shared" si="259"/>
        <v>69.6955859733982</v>
      </c>
      <c r="BO215">
        <f t="shared" si="260"/>
        <v>0</v>
      </c>
      <c r="BP215">
        <f t="shared" si="261"/>
        <v>0</v>
      </c>
    </row>
    <row r="216" spans="14:68">
      <c r="N216" s="7">
        <v>98</v>
      </c>
      <c r="O216" s="18">
        <f t="shared" si="211"/>
        <v>954.992586021437</v>
      </c>
      <c r="P216" s="86" t="str">
        <f t="shared" si="212"/>
        <v>163,636363636364</v>
      </c>
      <c r="Q216" s="4" t="str">
        <f t="shared" si="213"/>
        <v>1+36,6569608971817i</v>
      </c>
      <c r="R216" s="4">
        <f t="shared" si="224"/>
        <v>36.6705983345992</v>
      </c>
      <c r="S216" s="4">
        <f t="shared" si="225"/>
        <v>1.54352314262896</v>
      </c>
      <c r="T216" s="4" t="str">
        <f t="shared" si="214"/>
        <v>1+0,0940861996360996i</v>
      </c>
      <c r="U216" s="4">
        <f t="shared" si="226"/>
        <v>1.00441635438794</v>
      </c>
      <c r="V216" s="4">
        <f t="shared" si="227"/>
        <v>0.0938100412346756</v>
      </c>
      <c r="W216" t="str">
        <f t="shared" si="215"/>
        <v>1-0,0900059307743301i</v>
      </c>
      <c r="X216" s="4">
        <f t="shared" si="228"/>
        <v>1.0040423634362</v>
      </c>
      <c r="Y216" s="4">
        <f t="shared" si="229"/>
        <v>-0.0897640573078851</v>
      </c>
      <c r="Z216" t="str">
        <f t="shared" si="216"/>
        <v>0,999992555013556+0,0186440856603969i</v>
      </c>
      <c r="AA216" s="4">
        <f t="shared" si="230"/>
        <v>1.00016634217147</v>
      </c>
      <c r="AB216" s="4">
        <f t="shared" si="231"/>
        <v>0.0186420646285392</v>
      </c>
      <c r="AC216" s="67" t="str">
        <f t="shared" si="232"/>
        <v>0,0570379362405917-4,49904671572888i</v>
      </c>
      <c r="AD216" s="68">
        <f t="shared" si="233"/>
        <v>13.0631080222846</v>
      </c>
      <c r="AE216" s="31">
        <f t="shared" si="234"/>
        <v>-89.2736554750511</v>
      </c>
      <c r="AF216" s="32" t="str">
        <f t="shared" si="235"/>
        <v>748,315388573934</v>
      </c>
      <c r="AG216" s="32" t="str">
        <f t="shared" si="217"/>
        <v>1+29,868634805111i</v>
      </c>
      <c r="AH216" s="32">
        <f t="shared" si="236"/>
        <v>29.8853700850615</v>
      </c>
      <c r="AI216" s="32">
        <f t="shared" si="237"/>
        <v>1.53732889106433</v>
      </c>
      <c r="AJ216" s="32" t="str">
        <f t="shared" si="218"/>
        <v>1+0,0940861996360996i</v>
      </c>
      <c r="AK216" s="32">
        <f t="shared" si="238"/>
        <v>1.00441635438794</v>
      </c>
      <c r="AL216" s="32">
        <f t="shared" si="239"/>
        <v>0.0938100412346756</v>
      </c>
      <c r="AM216" s="32" t="str">
        <f t="shared" si="219"/>
        <v>1-0,0160367312254874i</v>
      </c>
      <c r="AN216" s="32">
        <f t="shared" si="240"/>
        <v>1.00012858010778</v>
      </c>
      <c r="AO216" s="32">
        <f t="shared" si="241"/>
        <v>-0.0160353566794514</v>
      </c>
      <c r="AP216" s="30" t="str">
        <f t="shared" si="242"/>
        <v>2,79234336625517-24,9978659754736i</v>
      </c>
      <c r="AQ216" s="32">
        <f t="shared" si="243"/>
        <v>28.011913030403</v>
      </c>
      <c r="AR216" s="31">
        <f t="shared" si="244"/>
        <v>-83.6262960035374</v>
      </c>
      <c r="AS216" t="str">
        <f t="shared" si="220"/>
        <v>-0,0000504684572142411</v>
      </c>
      <c r="AT216" t="str">
        <f t="shared" si="221"/>
        <v>0,00134828884299946i</v>
      </c>
      <c r="AU216">
        <f t="shared" si="245"/>
        <v>0.00134828884299946</v>
      </c>
      <c r="AV216">
        <f t="shared" si="246"/>
        <v>1.5707963267949</v>
      </c>
      <c r="AW216" t="str">
        <f t="shared" si="222"/>
        <v>1+0,0690299157548266i</v>
      </c>
      <c r="AX216">
        <f t="shared" si="247"/>
        <v>1.00237973306982</v>
      </c>
      <c r="AY216">
        <f t="shared" si="248"/>
        <v>0.0689205826860611</v>
      </c>
      <c r="AZ216" t="str">
        <f t="shared" si="223"/>
        <v>1+3,30021746172543i</v>
      </c>
      <c r="BA216">
        <f t="shared" si="249"/>
        <v>3.44839604666828</v>
      </c>
      <c r="BB216">
        <f t="shared" si="250"/>
        <v>1.27658005004378</v>
      </c>
      <c r="BC216" s="30" t="str">
        <f t="shared" si="251"/>
        <v>-0,120374556492595+0,0457409331725405i</v>
      </c>
      <c r="BD216" s="32">
        <f t="shared" si="252"/>
        <v>-17.803561010849</v>
      </c>
      <c r="BE216" s="31">
        <f t="shared" si="253"/>
        <v>159.193790568614</v>
      </c>
      <c r="BF216" s="30" t="str">
        <f t="shared" si="254"/>
        <v>0,198924678886078+0,544179721475211i</v>
      </c>
      <c r="BG216" s="68">
        <f t="shared" si="255"/>
        <v>-4.7404529885644</v>
      </c>
      <c r="BH216" s="31">
        <f t="shared" si="256"/>
        <v>69.9201350935634</v>
      </c>
      <c r="BI216" s="30" t="str">
        <f t="shared" si="209"/>
        <v>0,807298622752256+3,13683142136963i</v>
      </c>
      <c r="BJ216" s="68">
        <f t="shared" si="257"/>
        <v>10.208352019554</v>
      </c>
      <c r="BK216" s="31">
        <f t="shared" si="210"/>
        <v>75.567494565077</v>
      </c>
      <c r="BL216" s="32">
        <f t="shared" si="258"/>
        <v>-4.7404529885644</v>
      </c>
      <c r="BM216" s="31">
        <f t="shared" si="259"/>
        <v>69.9201350935634</v>
      </c>
      <c r="BO216">
        <f t="shared" si="260"/>
        <v>0</v>
      </c>
      <c r="BP216">
        <f t="shared" si="261"/>
        <v>0</v>
      </c>
    </row>
    <row r="217" spans="14:68">
      <c r="N217" s="7">
        <v>99</v>
      </c>
      <c r="O217" s="18">
        <f t="shared" si="211"/>
        <v>977.237220955811</v>
      </c>
      <c r="P217" s="86" t="str">
        <f t="shared" si="212"/>
        <v>163,636363636364</v>
      </c>
      <c r="Q217" s="4" t="str">
        <f t="shared" si="213"/>
        <v>1+37,5108112043956i</v>
      </c>
      <c r="R217" s="4">
        <f t="shared" si="224"/>
        <v>37.5241383273728</v>
      </c>
      <c r="S217" s="4">
        <f t="shared" si="225"/>
        <v>1.54414365871211</v>
      </c>
      <c r="T217" s="4" t="str">
        <f t="shared" si="214"/>
        <v>1+0,0962777487579487i</v>
      </c>
      <c r="U217" s="4">
        <f t="shared" si="226"/>
        <v>1.0046240117108</v>
      </c>
      <c r="V217" s="4">
        <f t="shared" si="227"/>
        <v>0.0959819132092949</v>
      </c>
      <c r="W217" t="str">
        <f t="shared" si="215"/>
        <v>1-0,0921024382250785i</v>
      </c>
      <c r="X217" s="4">
        <f t="shared" si="228"/>
        <v>1.00423247265113</v>
      </c>
      <c r="Y217" s="4">
        <f t="shared" si="229"/>
        <v>-0.0918433250945819</v>
      </c>
      <c r="Z217" t="str">
        <f t="shared" si="216"/>
        <v>0,999992204142155+0,0190783622037662i</v>
      </c>
      <c r="AA217" s="4">
        <f t="shared" si="230"/>
        <v>1.00017418095523</v>
      </c>
      <c r="AB217" s="4">
        <f t="shared" si="231"/>
        <v>0.019076196649472</v>
      </c>
      <c r="AC217" s="67" t="str">
        <f t="shared" si="232"/>
        <v>0,0515306752640627-4,3984682817539i</v>
      </c>
      <c r="AD217" s="68">
        <f t="shared" si="233"/>
        <v>12.8666253414121</v>
      </c>
      <c r="AE217" s="31">
        <f t="shared" si="234"/>
        <v>-89.3287765311535</v>
      </c>
      <c r="AF217" s="32" t="str">
        <f t="shared" si="235"/>
        <v>748,315388573934</v>
      </c>
      <c r="AG217" s="32" t="str">
        <f t="shared" si="217"/>
        <v>1+30,5643646850631i</v>
      </c>
      <c r="AH217" s="32">
        <f t="shared" si="236"/>
        <v>30.5807192296311</v>
      </c>
      <c r="AI217" s="32">
        <f t="shared" si="237"/>
        <v>1.53809015343654</v>
      </c>
      <c r="AJ217" s="32" t="str">
        <f t="shared" si="218"/>
        <v>1+0,0962777487579487i</v>
      </c>
      <c r="AK217" s="32">
        <f t="shared" si="238"/>
        <v>1.0046240117108</v>
      </c>
      <c r="AL217" s="32">
        <f t="shared" si="239"/>
        <v>0.0959819132092949</v>
      </c>
      <c r="AM217" s="32" t="str">
        <f t="shared" si="219"/>
        <v>1-0,0164102746821312i</v>
      </c>
      <c r="AN217" s="32">
        <f t="shared" si="240"/>
        <v>1.00013463949367</v>
      </c>
      <c r="AO217" s="32">
        <f t="shared" si="241"/>
        <v>-0.0164088018402263</v>
      </c>
      <c r="AP217" s="30" t="str">
        <f t="shared" si="242"/>
        <v>2,75477262686908-24,431815294592i</v>
      </c>
      <c r="AQ217" s="32">
        <f t="shared" si="243"/>
        <v>27.8139800847184</v>
      </c>
      <c r="AR217" s="31">
        <f t="shared" si="244"/>
        <v>-83.5668708583706</v>
      </c>
      <c r="AS217" t="str">
        <f t="shared" si="220"/>
        <v>-0,0000504684572142411</v>
      </c>
      <c r="AT217" t="str">
        <f t="shared" si="221"/>
        <v>0,00137969452461168i</v>
      </c>
      <c r="AU217">
        <f t="shared" si="245"/>
        <v>0.00137969452461168</v>
      </c>
      <c r="AV217">
        <f t="shared" si="246"/>
        <v>1.5707963267949</v>
      </c>
      <c r="AW217" t="str">
        <f t="shared" si="222"/>
        <v>1+0,0706378290496448i</v>
      </c>
      <c r="AX217">
        <f t="shared" si="247"/>
        <v>1.00249174704476</v>
      </c>
      <c r="AY217">
        <f t="shared" si="248"/>
        <v>0.0705206922768056</v>
      </c>
      <c r="AZ217" t="str">
        <f t="shared" si="223"/>
        <v>1+3,3770894015862i</v>
      </c>
      <c r="BA217">
        <f t="shared" si="249"/>
        <v>3.52203532439779</v>
      </c>
      <c r="BB217">
        <f t="shared" si="250"/>
        <v>1.28290941144677</v>
      </c>
      <c r="BC217" s="30" t="str">
        <f t="shared" si="251"/>
        <v>-0,120347657758926+0,0450805402708036i</v>
      </c>
      <c r="BD217" s="32">
        <f t="shared" si="252"/>
        <v>-17.8210002099461</v>
      </c>
      <c r="BE217" s="31">
        <f t="shared" si="253"/>
        <v>159.464756737711</v>
      </c>
      <c r="BF217" s="30" t="str">
        <f t="shared" si="254"/>
        <v>0,192083730434693+0,531668386117433i</v>
      </c>
      <c r="BG217" s="68">
        <f t="shared" si="255"/>
        <v>-4.95437486853399</v>
      </c>
      <c r="BH217" s="31">
        <f t="shared" si="256"/>
        <v>70.1359802065571</v>
      </c>
      <c r="BI217" s="30" t="str">
        <f t="shared" si="209"/>
        <v>0,769868999974592+3,06449838384533i</v>
      </c>
      <c r="BJ217" s="68">
        <f t="shared" si="257"/>
        <v>9.99297987477237</v>
      </c>
      <c r="BK217" s="31">
        <f t="shared" si="210"/>
        <v>75.8978858793399</v>
      </c>
      <c r="BL217" s="32">
        <f t="shared" si="258"/>
        <v>-4.95437486853399</v>
      </c>
      <c r="BM217" s="31">
        <f t="shared" si="259"/>
        <v>70.1359802065571</v>
      </c>
      <c r="BO217">
        <f t="shared" si="260"/>
        <v>0</v>
      </c>
      <c r="BP217">
        <f t="shared" si="261"/>
        <v>0</v>
      </c>
    </row>
    <row r="218" spans="14:68">
      <c r="N218" s="7">
        <v>100</v>
      </c>
      <c r="O218" s="18">
        <f t="shared" si="211"/>
        <v>1000</v>
      </c>
      <c r="P218" s="86" t="str">
        <f t="shared" si="212"/>
        <v>163,636363636364</v>
      </c>
      <c r="Q218" s="4" t="str">
        <f t="shared" si="213"/>
        <v>1+38,3845502402245i</v>
      </c>
      <c r="R218" s="4">
        <f t="shared" si="224"/>
        <v>38.3975741049395</v>
      </c>
      <c r="S218" s="4">
        <f t="shared" si="225"/>
        <v>1.54475006996283</v>
      </c>
      <c r="T218" s="4" t="str">
        <f t="shared" si="214"/>
        <v>1+0,098520345616576i</v>
      </c>
      <c r="U218" s="4">
        <f t="shared" si="226"/>
        <v>1.00484140962662</v>
      </c>
      <c r="V218" s="4">
        <f t="shared" si="227"/>
        <v>0.0982034345444615</v>
      </c>
      <c r="W218" t="str">
        <f t="shared" si="215"/>
        <v>1-0,094247779607694i</v>
      </c>
      <c r="X218" s="4">
        <f t="shared" si="228"/>
        <v>1.00443150287164</v>
      </c>
      <c r="Y218" s="4">
        <f t="shared" si="229"/>
        <v>-0.0939702010017026</v>
      </c>
      <c r="Z218" t="str">
        <f t="shared" si="216"/>
        <v>0,999991836734694+0,019522754347308i</v>
      </c>
      <c r="AA218" s="4">
        <f t="shared" si="230"/>
        <v>1.00018238910377</v>
      </c>
      <c r="AB218" s="4">
        <f t="shared" si="231"/>
        <v>0.0195204339369164</v>
      </c>
      <c r="AC218" s="67" t="str">
        <f t="shared" si="232"/>
        <v>0,0462679743021905-4,30020878412827i</v>
      </c>
      <c r="AD218" s="68">
        <f t="shared" si="233"/>
        <v>12.6702935771798</v>
      </c>
      <c r="AE218" s="31">
        <f t="shared" si="234"/>
        <v>-89.3835514745648</v>
      </c>
      <c r="AF218" s="32" t="str">
        <f t="shared" si="235"/>
        <v>748,315388573934</v>
      </c>
      <c r="AG218" s="32" t="str">
        <f t="shared" si="217"/>
        <v>1+31,2763001957384i</v>
      </c>
      <c r="AH218" s="32">
        <f t="shared" si="236"/>
        <v>31.2922826577728</v>
      </c>
      <c r="AI218" s="32">
        <f t="shared" si="237"/>
        <v>1.53883412400618</v>
      </c>
      <c r="AJ218" s="32" t="str">
        <f t="shared" si="218"/>
        <v>1+0,098520345616576i</v>
      </c>
      <c r="AK218" s="32">
        <f t="shared" si="238"/>
        <v>1.00484140962662</v>
      </c>
      <c r="AL218" s="32">
        <f t="shared" si="239"/>
        <v>0.0982034345444615</v>
      </c>
      <c r="AM218" s="32" t="str">
        <f t="shared" si="219"/>
        <v>1-0,0167925190836272i</v>
      </c>
      <c r="AN218" s="32">
        <f t="shared" si="240"/>
        <v>1.00014098441028</v>
      </c>
      <c r="AO218" s="32">
        <f t="shared" si="241"/>
        <v>-0.0167909409171074</v>
      </c>
      <c r="AP218" s="30" t="str">
        <f t="shared" si="242"/>
        <v>2,71888931418186-23,8786081200305i</v>
      </c>
      <c r="AQ218" s="32">
        <f t="shared" si="243"/>
        <v>27.6161236059035</v>
      </c>
      <c r="AR218" s="31">
        <f t="shared" si="244"/>
        <v>-83.5041083917823</v>
      </c>
      <c r="AS218" t="str">
        <f t="shared" si="220"/>
        <v>-0,0000504684572142411</v>
      </c>
      <c r="AT218" t="str">
        <f t="shared" si="221"/>
        <v>0,00141183173852325i</v>
      </c>
      <c r="AU218">
        <f t="shared" si="245"/>
        <v>0.00141183173852325</v>
      </c>
      <c r="AV218">
        <f t="shared" si="246"/>
        <v>1.5707963267949</v>
      </c>
      <c r="AW218" t="str">
        <f t="shared" si="222"/>
        <v>1+0,0722831954564274i</v>
      </c>
      <c r="AX218">
        <f t="shared" si="247"/>
        <v>1.00260902666263</v>
      </c>
      <c r="AY218">
        <f t="shared" si="248"/>
        <v>0.0721576987765131</v>
      </c>
      <c r="AZ218" t="str">
        <f t="shared" si="223"/>
        <v>1+3,45575191894877i</v>
      </c>
      <c r="BA218">
        <f t="shared" si="249"/>
        <v>3.59752989220633</v>
      </c>
      <c r="BB218">
        <f t="shared" si="250"/>
        <v>1.28911770882925</v>
      </c>
      <c r="BC218" s="30" t="str">
        <f t="shared" si="251"/>
        <v>-0,120319504208677+0,0444438714569737i</v>
      </c>
      <c r="BD218" s="32">
        <f t="shared" si="252"/>
        <v>-17.8378022205724</v>
      </c>
      <c r="BE218" s="31">
        <f t="shared" si="253"/>
        <v>159.72667241222</v>
      </c>
      <c r="BF218" s="30" t="str">
        <f t="shared" si="254"/>
        <v>0,185550986711167+0,519455316802572i</v>
      </c>
      <c r="BG218" s="68">
        <f t="shared" si="255"/>
        <v>-5.16750864339258</v>
      </c>
      <c r="BH218" s="31">
        <f t="shared" si="256"/>
        <v>70.343120937655</v>
      </c>
      <c r="BI218" s="30" t="str">
        <f t="shared" si="209"/>
        <v>0,734122375577453+2,9939002573806i</v>
      </c>
      <c r="BJ218" s="68">
        <f t="shared" si="257"/>
        <v>9.7783213853311</v>
      </c>
      <c r="BK218" s="31">
        <f t="shared" si="210"/>
        <v>76.2225640204376</v>
      </c>
      <c r="BL218" s="32">
        <f t="shared" si="258"/>
        <v>-5.16750864339258</v>
      </c>
      <c r="BM218" s="31">
        <f t="shared" si="259"/>
        <v>70.343120937655</v>
      </c>
      <c r="BO218">
        <f t="shared" si="260"/>
        <v>0</v>
      </c>
      <c r="BP218">
        <f t="shared" si="261"/>
        <v>0</v>
      </c>
    </row>
    <row r="219" spans="14:68">
      <c r="N219" s="7">
        <v>1</v>
      </c>
      <c r="O219" s="18">
        <f>10^(3+(N219/100))</f>
        <v>1023.29299228075</v>
      </c>
      <c r="P219" s="86" t="str">
        <f t="shared" si="212"/>
        <v>163,636363636364</v>
      </c>
      <c r="Q219" s="4" t="str">
        <f t="shared" si="213"/>
        <v>1+39,27864127267i</v>
      </c>
      <c r="R219" s="4">
        <f t="shared" si="224"/>
        <v>39.2913687751788</v>
      </c>
      <c r="S219" s="4">
        <f t="shared" si="225"/>
        <v>1.54534269612338</v>
      </c>
      <c r="T219" s="4" t="str">
        <f t="shared" si="214"/>
        <v>1+0,10081517926652i</v>
      </c>
      <c r="U219" s="4">
        <f t="shared" si="226"/>
        <v>1.00506900279062</v>
      </c>
      <c r="V219" s="4">
        <f t="shared" si="227"/>
        <v>0.100475695363516</v>
      </c>
      <c r="W219" t="str">
        <f t="shared" si="215"/>
        <v>1-0,0964430924105737i</v>
      </c>
      <c r="X219" s="4">
        <f t="shared" si="228"/>
        <v>1.00463987083617</v>
      </c>
      <c r="Y219" s="4">
        <f t="shared" si="229"/>
        <v>-0.0961457357154223</v>
      </c>
      <c r="Z219" t="str">
        <f t="shared" si="216"/>
        <v>0,999991452011853+0,0199774977136188i</v>
      </c>
      <c r="AA219" s="4">
        <f t="shared" si="230"/>
        <v>1.00019098401839</v>
      </c>
      <c r="AB219" s="4">
        <f t="shared" si="231"/>
        <v>0.0199750113747159</v>
      </c>
      <c r="AC219" s="67" t="str">
        <f t="shared" si="232"/>
        <v>0,0412387168136307-4,20421699571865i</v>
      </c>
      <c r="AD219" s="68">
        <f t="shared" si="233"/>
        <v>12.4741203043729</v>
      </c>
      <c r="AE219" s="31">
        <f t="shared" si="234"/>
        <v>-89.4380098234369</v>
      </c>
      <c r="AF219" s="32" t="str">
        <f t="shared" si="235"/>
        <v>748,315388573934</v>
      </c>
      <c r="AG219" s="32" t="str">
        <f t="shared" si="217"/>
        <v>1+32,0048188147682i</v>
      </c>
      <c r="AH219" s="32">
        <f t="shared" si="236"/>
        <v>32.0204376510712</v>
      </c>
      <c r="AI219" s="32">
        <f t="shared" si="237"/>
        <v>1.53956119394017</v>
      </c>
      <c r="AJ219" s="32" t="str">
        <f t="shared" si="218"/>
        <v>1+0,10081517926652i</v>
      </c>
      <c r="AK219" s="32">
        <f t="shared" si="238"/>
        <v>1.00506900279062</v>
      </c>
      <c r="AL219" s="32">
        <f t="shared" si="239"/>
        <v>0.100475695363516</v>
      </c>
      <c r="AM219" s="32" t="str">
        <f t="shared" si="219"/>
        <v>1-0,0171836671010164i</v>
      </c>
      <c r="AN219" s="32">
        <f t="shared" si="240"/>
        <v>1.00014762831046</v>
      </c>
      <c r="AO219" s="32">
        <f t="shared" si="241"/>
        <v>-0.0171819760786044</v>
      </c>
      <c r="AP219" s="30" t="str">
        <f t="shared" si="242"/>
        <v>2,68461779206807-23,337958498887i</v>
      </c>
      <c r="AQ219" s="32">
        <f t="shared" si="243"/>
        <v>27.4183480273931</v>
      </c>
      <c r="AR219" s="31">
        <f t="shared" si="244"/>
        <v>-83.4379801399208</v>
      </c>
      <c r="AS219" t="str">
        <f t="shared" si="220"/>
        <v>-0,0000504684572142411</v>
      </c>
      <c r="AT219" t="str">
        <f t="shared" si="221"/>
        <v>0,00144471752431039i</v>
      </c>
      <c r="AU219">
        <f t="shared" si="245"/>
        <v>0.00144471752431039</v>
      </c>
      <c r="AV219">
        <f t="shared" si="246"/>
        <v>1.5707963267949</v>
      </c>
      <c r="AW219" t="str">
        <f t="shared" si="222"/>
        <v>1+0,0739668873702219i</v>
      </c>
      <c r="AX219">
        <f t="shared" si="247"/>
        <v>1.00273181879665</v>
      </c>
      <c r="AY219">
        <f t="shared" si="248"/>
        <v>0.0738324350333333</v>
      </c>
      <c r="AZ219" t="str">
        <f t="shared" si="223"/>
        <v>1+3,53624672172103i</v>
      </c>
      <c r="BA219">
        <f t="shared" si="249"/>
        <v>3.67492052660772</v>
      </c>
      <c r="BB219">
        <f t="shared" si="250"/>
        <v>1.29520631889299</v>
      </c>
      <c r="BC219" s="30" t="str">
        <f t="shared" si="251"/>
        <v>-0,120290037937045+0,0438305765493489i</v>
      </c>
      <c r="BD219" s="32">
        <f t="shared" si="252"/>
        <v>-17.8539951328243</v>
      </c>
      <c r="BE219" s="31">
        <f t="shared" si="253"/>
        <v>159.97956875266</v>
      </c>
      <c r="BF219" s="30" t="str">
        <f t="shared" si="254"/>
        <v>0,179312648050933+0,507532938644663i</v>
      </c>
      <c r="BG219" s="68">
        <f t="shared" si="255"/>
        <v>-5.37987482845142</v>
      </c>
      <c r="BH219" s="31">
        <f t="shared" si="256"/>
        <v>70.5415589292229</v>
      </c>
      <c r="BI219" s="30" t="str">
        <f t="shared" si="209"/>
        <v>0,69998340043666+2,92499225884528i</v>
      </c>
      <c r="BJ219" s="68">
        <f t="shared" si="257"/>
        <v>9.56435289456874</v>
      </c>
      <c r="BK219" s="31">
        <f t="shared" si="210"/>
        <v>76.5415886127389</v>
      </c>
      <c r="BL219" s="32">
        <f t="shared" si="258"/>
        <v>-5.37987482845142</v>
      </c>
      <c r="BM219" s="31">
        <f t="shared" si="259"/>
        <v>70.5415589292229</v>
      </c>
      <c r="BO219">
        <f t="shared" si="260"/>
        <v>0</v>
      </c>
      <c r="BP219">
        <f t="shared" si="261"/>
        <v>0</v>
      </c>
    </row>
    <row r="220" spans="14:68">
      <c r="N220" s="7">
        <v>2</v>
      </c>
      <c r="O220" s="18">
        <f t="shared" ref="O220:O283" si="262">10^(3+(N220/100))</f>
        <v>1047.1285480509</v>
      </c>
      <c r="P220" s="86" t="str">
        <f t="shared" si="212"/>
        <v>163,636363636364</v>
      </c>
      <c r="Q220" s="4" t="str">
        <f t="shared" si="213"/>
        <v>1+40,193558360633i</v>
      </c>
      <c r="R220" s="4">
        <f t="shared" si="224"/>
        <v>40.2059962404815</v>
      </c>
      <c r="S220" s="4">
        <f t="shared" si="225"/>
        <v>1.54592184974598</v>
      </c>
      <c r="T220" s="4" t="str">
        <f t="shared" si="214"/>
        <v>1+0,103163466458958i</v>
      </c>
      <c r="U220" s="4">
        <f t="shared" si="226"/>
        <v>1.00530726686513</v>
      </c>
      <c r="V220" s="4">
        <f t="shared" si="227"/>
        <v>0.102799806541191</v>
      </c>
      <c r="W220" t="str">
        <f t="shared" si="215"/>
        <v>1-0,0986895406176258i</v>
      </c>
      <c r="X220" s="4">
        <f t="shared" si="228"/>
        <v>1.00485801257059</v>
      </c>
      <c r="Y220" s="4">
        <f t="shared" si="229"/>
        <v>-0.0983710003140731</v>
      </c>
      <c r="Z220" t="str">
        <f t="shared" si="216"/>
        <v>0,999991049157583+0,020442833413651i</v>
      </c>
      <c r="AA220" s="4">
        <f t="shared" si="230"/>
        <v>1.00019998391985</v>
      </c>
      <c r="AB220" s="4">
        <f t="shared" si="231"/>
        <v>0.0204401692822712</v>
      </c>
      <c r="AC220" s="67" t="str">
        <f t="shared" si="232"/>
        <v>0,0364322773768552-4,1104428331703i</v>
      </c>
      <c r="AD220" s="68">
        <f t="shared" si="233"/>
        <v>12.278113414449</v>
      </c>
      <c r="AE220" s="31">
        <f t="shared" si="234"/>
        <v>-89.4921809748141</v>
      </c>
      <c r="AF220" s="32" t="str">
        <f t="shared" si="235"/>
        <v>748,315388573934</v>
      </c>
      <c r="AG220" s="32" t="str">
        <f t="shared" si="217"/>
        <v>1+32,7503068123676i</v>
      </c>
      <c r="AH220" s="32">
        <f t="shared" si="236"/>
        <v>32.7655702880968</v>
      </c>
      <c r="AI220" s="32">
        <f t="shared" si="237"/>
        <v>1.54027174566403</v>
      </c>
      <c r="AJ220" s="32" t="str">
        <f t="shared" si="218"/>
        <v>1+0,103163466458958i</v>
      </c>
      <c r="AK220" s="32">
        <f t="shared" si="238"/>
        <v>1.00530726686513</v>
      </c>
      <c r="AL220" s="32">
        <f t="shared" si="239"/>
        <v>0.102799806541191</v>
      </c>
      <c r="AM220" s="32" t="str">
        <f t="shared" si="219"/>
        <v>1-0,0175839261261555i</v>
      </c>
      <c r="AN220" s="32">
        <f t="shared" si="240"/>
        <v>1.0001545852807</v>
      </c>
      <c r="AO220" s="32">
        <f t="shared" si="241"/>
        <v>-0.0175821141781208</v>
      </c>
      <c r="AP220" s="30" t="str">
        <f t="shared" si="242"/>
        <v>2,65188580132045-22,8095866464863i</v>
      </c>
      <c r="AQ220" s="32">
        <f t="shared" si="243"/>
        <v>27.2206579436964</v>
      </c>
      <c r="AR220" s="31">
        <f t="shared" si="244"/>
        <v>-83.3684562175487</v>
      </c>
      <c r="AS220" t="str">
        <f t="shared" si="220"/>
        <v>-0,0000504684572142411</v>
      </c>
      <c r="AT220" t="str">
        <f t="shared" si="221"/>
        <v>0,00147836931845203i</v>
      </c>
      <c r="AU220">
        <f t="shared" si="245"/>
        <v>0.00147836931845203</v>
      </c>
      <c r="AV220">
        <f t="shared" si="246"/>
        <v>1.5707963267949</v>
      </c>
      <c r="AW220" t="str">
        <f t="shared" si="222"/>
        <v>1+0,0756897975067683i</v>
      </c>
      <c r="AX220">
        <f t="shared" si="247"/>
        <v>1.0028603818312</v>
      </c>
      <c r="AY220">
        <f t="shared" si="248"/>
        <v>0.0755457514159188</v>
      </c>
      <c r="AZ220" t="str">
        <f t="shared" si="223"/>
        <v>1+3,61861648931294i</v>
      </c>
      <c r="BA220">
        <f t="shared" si="249"/>
        <v>3.75424896573569</v>
      </c>
      <c r="BB220">
        <f t="shared" si="250"/>
        <v>1.30117666350189</v>
      </c>
      <c r="BC220" s="30" t="str">
        <f t="shared" si="251"/>
        <v>-0,120259198427748+0,0432403168736346i</v>
      </c>
      <c r="BD220" s="32">
        <f t="shared" si="252"/>
        <v>-17.8696063380632</v>
      </c>
      <c r="BE220" s="31">
        <f t="shared" si="253"/>
        <v>160.223478503296</v>
      </c>
      <c r="BF220" s="30" t="str">
        <f t="shared" si="254"/>
        <v>0,173355534123006+0,495893903518345i</v>
      </c>
      <c r="BG220" s="68">
        <f t="shared" si="255"/>
        <v>-5.59149292361419</v>
      </c>
      <c r="BH220" s="31">
        <f t="shared" si="256"/>
        <v>70.7312975284818</v>
      </c>
      <c r="BI220" s="30" t="str">
        <f t="shared" si="209"/>
        <v>0,667380093561968+2,8577309889365i</v>
      </c>
      <c r="BJ220" s="68">
        <f t="shared" si="257"/>
        <v>9.35105160563322</v>
      </c>
      <c r="BK220" s="31">
        <f t="shared" si="210"/>
        <v>76.8550222857473</v>
      </c>
      <c r="BL220" s="32">
        <f t="shared" si="258"/>
        <v>-5.59149292361419</v>
      </c>
      <c r="BM220" s="31">
        <f t="shared" si="259"/>
        <v>70.7312975284818</v>
      </c>
      <c r="BO220">
        <f t="shared" si="260"/>
        <v>0</v>
      </c>
      <c r="BP220">
        <f t="shared" si="261"/>
        <v>0</v>
      </c>
    </row>
    <row r="221" spans="14:68">
      <c r="N221" s="7">
        <v>3</v>
      </c>
      <c r="O221" s="18">
        <f t="shared" si="262"/>
        <v>1071.51930523761</v>
      </c>
      <c r="P221" s="86" t="str">
        <f t="shared" si="212"/>
        <v>163,636363636364</v>
      </c>
      <c r="Q221" s="4" t="str">
        <f t="shared" si="213"/>
        <v>1+41,1297866052634i</v>
      </c>
      <c r="R221" s="4">
        <f t="shared" si="224"/>
        <v>41.141941449019</v>
      </c>
      <c r="S221" s="4">
        <f t="shared" si="225"/>
        <v>1.54648783635057</v>
      </c>
      <c r="T221" s="4" t="str">
        <f t="shared" si="214"/>
        <v>1+0,105566452286843i</v>
      </c>
      <c r="U221" s="4">
        <f t="shared" si="226"/>
        <v>1.00555669946972</v>
      </c>
      <c r="V221" s="4">
        <f t="shared" si="227"/>
        <v>0.105176899867654</v>
      </c>
      <c r="W221" t="str">
        <f t="shared" si="215"/>
        <v>1-0,100988315325424i</v>
      </c>
      <c r="X221" s="4">
        <f t="shared" si="228"/>
        <v>1.00508638426369</v>
      </c>
      <c r="Y221" s="4">
        <f t="shared" si="229"/>
        <v>-0.100647086461373</v>
      </c>
      <c r="Z221" t="str">
        <f t="shared" si="216"/>
        <v>0,999990627317376+0,020919008174552i</v>
      </c>
      <c r="AA221" s="4">
        <f t="shared" si="230"/>
        <v>1.00020940788697</v>
      </c>
      <c r="AB221" s="4">
        <f t="shared" si="231"/>
        <v>0.0209161535386085</v>
      </c>
      <c r="AC221" s="67" t="str">
        <f t="shared" si="232"/>
        <v>0,031838499510204-4,01883733420934i</v>
      </c>
      <c r="AD221" s="68">
        <f t="shared" si="233"/>
        <v>12.0822811304229</v>
      </c>
      <c r="AE221" s="31">
        <f t="shared" si="234"/>
        <v>-89.5460942224544</v>
      </c>
      <c r="AF221" s="32" t="str">
        <f t="shared" si="235"/>
        <v>748,315388573934</v>
      </c>
      <c r="AG221" s="32" t="str">
        <f t="shared" si="217"/>
        <v>1+33,5131594561405i</v>
      </c>
      <c r="AH221" s="32">
        <f t="shared" si="236"/>
        <v>33.5280756491138</v>
      </c>
      <c r="AI221" s="32">
        <f t="shared" si="237"/>
        <v>1.54096615305009</v>
      </c>
      <c r="AJ221" s="32" t="str">
        <f t="shared" si="218"/>
        <v>1+0,105566452286843i</v>
      </c>
      <c r="AK221" s="32">
        <f t="shared" si="238"/>
        <v>1.00555669946972</v>
      </c>
      <c r="AL221" s="32">
        <f t="shared" si="239"/>
        <v>0.105176899867654</v>
      </c>
      <c r="AM221" s="32" t="str">
        <f t="shared" si="219"/>
        <v>1-0,0179935083816775i</v>
      </c>
      <c r="AN221" s="32">
        <f t="shared" si="240"/>
        <v>1.00016187007098</v>
      </c>
      <c r="AO221" s="32">
        <f t="shared" si="241"/>
        <v>-0.0179915668613488</v>
      </c>
      <c r="AP221" s="30" t="str">
        <f t="shared" si="242"/>
        <v>2,62062431005522-22,2932188305615i</v>
      </c>
      <c r="AQ221" s="32">
        <f t="shared" si="243"/>
        <v>27.0230581191256</v>
      </c>
      <c r="AR221" s="31">
        <f t="shared" si="244"/>
        <v>-83.2955053255767</v>
      </c>
      <c r="AS221" t="str">
        <f t="shared" si="220"/>
        <v>-0,0000504684572142411</v>
      </c>
      <c r="AT221" t="str">
        <f t="shared" si="221"/>
        <v>0,00151280496357484i</v>
      </c>
      <c r="AU221">
        <f t="shared" si="245"/>
        <v>0.00151280496357484</v>
      </c>
      <c r="AV221">
        <f t="shared" si="246"/>
        <v>1.5707963267949</v>
      </c>
      <c r="AW221" t="str">
        <f t="shared" si="222"/>
        <v>1+0,0774528393758255i</v>
      </c>
      <c r="AX221">
        <f t="shared" si="247"/>
        <v>1.00299498619254</v>
      </c>
      <c r="AY221">
        <f t="shared" si="248"/>
        <v>0.0772985160898911</v>
      </c>
      <c r="AZ221" t="str">
        <f t="shared" si="223"/>
        <v>1+3,70290489526552i</v>
      </c>
      <c r="BA221">
        <f t="shared" si="249"/>
        <v>3.83555793377982</v>
      </c>
      <c r="BB221">
        <f t="shared" si="250"/>
        <v>1.30703020503309</v>
      </c>
      <c r="BC221" s="30" t="str">
        <f t="shared" si="251"/>
        <v>-0,120226922441072+0,042672765021979i</v>
      </c>
      <c r="BD221" s="32">
        <f t="shared" si="252"/>
        <v>-17.8846625418841</v>
      </c>
      <c r="BE221" s="31">
        <f t="shared" si="253"/>
        <v>160.45843570994</v>
      </c>
      <c r="BF221" s="30" t="str">
        <f t="shared" si="254"/>
        <v>0,167667056413018+0,484531081291522i</v>
      </c>
      <c r="BG221" s="68">
        <f t="shared" si="255"/>
        <v>-5.80238141146115</v>
      </c>
      <c r="BH221" s="31">
        <f t="shared" si="256"/>
        <v>70.9123414874854</v>
      </c>
      <c r="BI221" s="30" t="str">
        <f t="shared" si="209"/>
        <v>0,636243693067912+2,79207437669764i</v>
      </c>
      <c r="BJ221" s="68">
        <f t="shared" si="257"/>
        <v>9.13839557724155</v>
      </c>
      <c r="BK221" s="31">
        <f t="shared" si="210"/>
        <v>77.1629303843631</v>
      </c>
      <c r="BL221" s="32">
        <f t="shared" si="258"/>
        <v>-5.80238141146115</v>
      </c>
      <c r="BM221" s="31">
        <f t="shared" si="259"/>
        <v>70.9123414874854</v>
      </c>
      <c r="BO221">
        <f t="shared" si="260"/>
        <v>0</v>
      </c>
      <c r="BP221">
        <f t="shared" si="261"/>
        <v>0</v>
      </c>
    </row>
    <row r="222" spans="14:68">
      <c r="N222" s="7">
        <v>4</v>
      </c>
      <c r="O222" s="18">
        <f t="shared" si="262"/>
        <v>1096.47819614319</v>
      </c>
      <c r="P222" s="86" t="str">
        <f t="shared" si="212"/>
        <v>163,636363636364</v>
      </c>
      <c r="Q222" s="4" t="str">
        <f t="shared" si="213"/>
        <v>1+42,0878224071689i</v>
      </c>
      <c r="R222" s="4">
        <f t="shared" si="224"/>
        <v>42.0997006518739</v>
      </c>
      <c r="S222" s="4">
        <f t="shared" si="225"/>
        <v>1.54704095457945</v>
      </c>
      <c r="T222" s="4" t="str">
        <f t="shared" si="214"/>
        <v>1+0,108025410845067i</v>
      </c>
      <c r="U222" s="4">
        <f t="shared" si="226"/>
        <v>1.00581782117253</v>
      </c>
      <c r="V222" s="4">
        <f t="shared" si="227"/>
        <v>0.107608128195048</v>
      </c>
      <c r="W222" t="str">
        <f t="shared" si="215"/>
        <v>1-0,103340635374745i</v>
      </c>
      <c r="X222" s="4">
        <f t="shared" si="228"/>
        <v>1.00532546318078</v>
      </c>
      <c r="Y222" s="4">
        <f t="shared" si="229"/>
        <v>-0.10297510658522</v>
      </c>
      <c r="Z222" t="str">
        <f t="shared" si="216"/>
        <v>0,999990185596452+0,0214062744704829i</v>
      </c>
      <c r="AA222" s="4">
        <f t="shared" si="230"/>
        <v>1.00021927589701</v>
      </c>
      <c r="AB222" s="4">
        <f t="shared" si="231"/>
        <v>0.0214032157091573</v>
      </c>
      <c r="AC222" s="67" t="str">
        <f t="shared" si="232"/>
        <v>0,0274476744554148-3,92935263528017i</v>
      </c>
      <c r="AD222" s="68">
        <f t="shared" si="233"/>
        <v>11.8866320222808</v>
      </c>
      <c r="AE222" s="31">
        <f t="shared" si="234"/>
        <v>-89.5997787747995</v>
      </c>
      <c r="AF222" s="32" t="str">
        <f t="shared" si="235"/>
        <v>748,315388573934</v>
      </c>
      <c r="AG222" s="32" t="str">
        <f t="shared" si="217"/>
        <v>1+34,2937812206562i</v>
      </c>
      <c r="AH222" s="32">
        <f t="shared" si="236"/>
        <v>34.3083580255633</v>
      </c>
      <c r="AI222" s="32">
        <f t="shared" si="237"/>
        <v>1.54164478160204</v>
      </c>
      <c r="AJ222" s="32" t="str">
        <f t="shared" si="218"/>
        <v>1+0,108025410845067i</v>
      </c>
      <c r="AK222" s="32">
        <f t="shared" si="238"/>
        <v>1.00581782117253</v>
      </c>
      <c r="AL222" s="32">
        <f t="shared" si="239"/>
        <v>0.107608128195048</v>
      </c>
      <c r="AM222" s="32" t="str">
        <f t="shared" si="219"/>
        <v>1-0,0184126310335156i</v>
      </c>
      <c r="AN222" s="32">
        <f t="shared" si="240"/>
        <v>1.00016949812598</v>
      </c>
      <c r="AO222" s="32">
        <f t="shared" si="241"/>
        <v>-0.0184105506760428</v>
      </c>
      <c r="AP222" s="30" t="str">
        <f t="shared" si="242"/>
        <v>2,59076737064059-21,7885872564917i</v>
      </c>
      <c r="AQ222" s="32">
        <f t="shared" si="243"/>
        <v>26.8255534967912</v>
      </c>
      <c r="AR222" s="31">
        <f t="shared" si="244"/>
        <v>-83.2190947595345</v>
      </c>
      <c r="AS222" t="str">
        <f t="shared" si="220"/>
        <v>-0,0000504684572142411</v>
      </c>
      <c r="AT222" t="str">
        <f t="shared" si="221"/>
        <v>0,00154804271791368i</v>
      </c>
      <c r="AU222">
        <f t="shared" si="245"/>
        <v>0.00154804271791368</v>
      </c>
      <c r="AV222">
        <f t="shared" si="246"/>
        <v>1.5707963267949</v>
      </c>
      <c r="AW222" t="str">
        <f t="shared" si="222"/>
        <v>1+0,0792569477655292i</v>
      </c>
      <c r="AX222">
        <f t="shared" si="247"/>
        <v>1.00313591490341</v>
      </c>
      <c r="AY222">
        <f t="shared" si="248"/>
        <v>0.07909161529167</v>
      </c>
      <c r="AZ222" t="str">
        <f t="shared" si="223"/>
        <v>1+3,78915663040731i</v>
      </c>
      <c r="BA222">
        <f t="shared" si="249"/>
        <v>3.91889116584777</v>
      </c>
      <c r="BB222">
        <f t="shared" si="250"/>
        <v>1.31276844194151</v>
      </c>
      <c r="BC222" s="30" t="str">
        <f t="shared" si="251"/>
        <v>-0,120193143897677+0,0421276046138252i</v>
      </c>
      <c r="BD222" s="32">
        <f t="shared" si="252"/>
        <v>-17.8991897786752</v>
      </c>
      <c r="BE222" s="31">
        <f t="shared" si="253"/>
        <v>160.684475450128</v>
      </c>
      <c r="BF222" s="30" t="str">
        <f t="shared" si="254"/>
        <v>0,162235191921899+0,473437551493973i</v>
      </c>
      <c r="BG222" s="68">
        <f t="shared" si="255"/>
        <v>-6.0125577563944</v>
      </c>
      <c r="BH222" s="31">
        <f t="shared" si="256"/>
        <v>71.0846966753286</v>
      </c>
      <c r="BI222" s="30" t="str">
        <f t="shared" si="209"/>
        <v>0,606508513650502+2,72798162688334i</v>
      </c>
      <c r="BJ222" s="68">
        <f t="shared" si="257"/>
        <v>8.92636371811594</v>
      </c>
      <c r="BK222" s="31">
        <f t="shared" si="210"/>
        <v>77.4653806905935</v>
      </c>
      <c r="BL222" s="32">
        <f t="shared" si="258"/>
        <v>-6.0125577563944</v>
      </c>
      <c r="BM222" s="31">
        <f t="shared" si="259"/>
        <v>71.0846966753286</v>
      </c>
      <c r="BO222">
        <f t="shared" si="260"/>
        <v>0</v>
      </c>
      <c r="BP222">
        <f t="shared" si="261"/>
        <v>0</v>
      </c>
    </row>
    <row r="223" spans="14:68">
      <c r="N223" s="7">
        <v>5</v>
      </c>
      <c r="O223" s="18">
        <f t="shared" si="262"/>
        <v>1122.01845430196</v>
      </c>
      <c r="P223" s="86" t="str">
        <f t="shared" si="212"/>
        <v>163,636363636364</v>
      </c>
      <c r="Q223" s="4" t="str">
        <f t="shared" si="213"/>
        <v>1+43,0681737296125i</v>
      </c>
      <c r="R223" s="4">
        <f t="shared" si="224"/>
        <v>43.0797816661608</v>
      </c>
      <c r="S223" s="4">
        <f t="shared" si="225"/>
        <v>1.54758149634868</v>
      </c>
      <c r="T223" s="4" t="str">
        <f t="shared" si="214"/>
        <v>1+0,110541645906005i</v>
      </c>
      <c r="U223" s="4">
        <f t="shared" si="226"/>
        <v>1.00609117652408</v>
      </c>
      <c r="V223" s="4">
        <f t="shared" si="227"/>
        <v>0.110094665564745</v>
      </c>
      <c r="W223" t="str">
        <f t="shared" si="215"/>
        <v>1-0,105747747996816i</v>
      </c>
      <c r="X223" s="4">
        <f t="shared" si="228"/>
        <v>1.00557574861688</v>
      </c>
      <c r="Y223" s="4">
        <f t="shared" si="229"/>
        <v>-0.105356194040499</v>
      </c>
      <c r="Z223" t="str">
        <f t="shared" si="216"/>
        <v>0,999989723057863+0,0219048906564834i</v>
      </c>
      <c r="AA223" s="4">
        <f t="shared" si="230"/>
        <v>1.00022960886789</v>
      </c>
      <c r="AB223" s="4">
        <f t="shared" si="231"/>
        <v>0.0219016131752856</v>
      </c>
      <c r="AC223" s="67" t="str">
        <f t="shared" si="232"/>
        <v>0,0232505208824724-3,84194194952394i</v>
      </c>
      <c r="AD223" s="68">
        <f t="shared" si="233"/>
        <v>11.6911750229431</v>
      </c>
      <c r="AE223" s="31">
        <f t="shared" si="234"/>
        <v>-89.6532637731097</v>
      </c>
      <c r="AF223" s="32" t="str">
        <f t="shared" si="235"/>
        <v>748,315388573934</v>
      </c>
      <c r="AG223" s="32" t="str">
        <f t="shared" si="217"/>
        <v>1+35,0925860019065i</v>
      </c>
      <c r="AH223" s="32">
        <f t="shared" si="236"/>
        <v>35.1068311344274</v>
      </c>
      <c r="AI223" s="32">
        <f t="shared" si="237"/>
        <v>1.54230798863603</v>
      </c>
      <c r="AJ223" s="32" t="str">
        <f t="shared" si="218"/>
        <v>1+0,110541645906005i</v>
      </c>
      <c r="AK223" s="32">
        <f t="shared" si="238"/>
        <v>1.00609117652408</v>
      </c>
      <c r="AL223" s="32">
        <f t="shared" si="239"/>
        <v>0.110094665564745</v>
      </c>
      <c r="AM223" s="32" t="str">
        <f t="shared" si="219"/>
        <v>1-0,0188415163060475i</v>
      </c>
      <c r="AN223" s="32">
        <f t="shared" si="240"/>
        <v>1.00017748561778</v>
      </c>
      <c r="AO223" s="32">
        <f t="shared" si="241"/>
        <v>-0.0188392871842174</v>
      </c>
      <c r="AP223" s="30" t="str">
        <f t="shared" si="242"/>
        <v>2,56225198287371-21,2954299536788i</v>
      </c>
      <c r="AQ223" s="32">
        <f t="shared" si="243"/>
        <v>26.6281492078759</v>
      </c>
      <c r="AR223" s="31">
        <f t="shared" si="244"/>
        <v>-83.1391904190819</v>
      </c>
      <c r="AS223" t="str">
        <f t="shared" si="220"/>
        <v>-0,0000504684572142411</v>
      </c>
      <c r="AT223" t="str">
        <f t="shared" si="221"/>
        <v>0,00158410126499231i</v>
      </c>
      <c r="AU223">
        <f t="shared" si="245"/>
        <v>0.00158410126499231</v>
      </c>
      <c r="AV223">
        <f t="shared" si="246"/>
        <v>1.5707963267949</v>
      </c>
      <c r="AW223" t="str">
        <f t="shared" si="222"/>
        <v>1+0,0811030792380271i</v>
      </c>
      <c r="AX223">
        <f t="shared" si="247"/>
        <v>1.00328346416249</v>
      </c>
      <c r="AY223">
        <f t="shared" si="248"/>
        <v>0.0809259535989826</v>
      </c>
      <c r="AZ223" t="str">
        <f t="shared" si="223"/>
        <v>1+3,87741742654993i</v>
      </c>
      <c r="BA223">
        <f t="shared" si="249"/>
        <v>4.00429343326798</v>
      </c>
      <c r="BB223">
        <f t="shared" si="250"/>
        <v>1.31839290453689</v>
      </c>
      <c r="BC223" s="30" t="str">
        <f t="shared" si="251"/>
        <v>-0,120157793758072+0,041604530058185i</v>
      </c>
      <c r="BD223" s="32">
        <f t="shared" si="252"/>
        <v>-17.9132134276208</v>
      </c>
      <c r="BE223" s="31">
        <f t="shared" si="253"/>
        <v>160.901633575664</v>
      </c>
      <c r="BF223" s="30" t="str">
        <f t="shared" si="254"/>
        <v>0,157048458027807+0,462606595396306i</v>
      </c>
      <c r="BG223" s="68">
        <f t="shared" si="255"/>
        <v>-6.22203840467769</v>
      </c>
      <c r="BH223" s="31">
        <f t="shared" si="256"/>
        <v>71.2483698025547</v>
      </c>
      <c r="BI223" s="30" t="str">
        <f t="shared" si="209"/>
        <v>0,578111810295453+2,66541317000172i</v>
      </c>
      <c r="BJ223" s="68">
        <f t="shared" si="257"/>
        <v>8.71493578025512</v>
      </c>
      <c r="BK223" s="31">
        <f t="shared" si="210"/>
        <v>77.7624431565826</v>
      </c>
      <c r="BL223" s="32">
        <f t="shared" si="258"/>
        <v>-6.22203840467769</v>
      </c>
      <c r="BM223" s="31">
        <f t="shared" si="259"/>
        <v>71.2483698025547</v>
      </c>
      <c r="BO223">
        <f t="shared" si="260"/>
        <v>0</v>
      </c>
      <c r="BP223">
        <f t="shared" si="261"/>
        <v>0</v>
      </c>
    </row>
    <row r="224" spans="14:68">
      <c r="N224" s="7">
        <v>6</v>
      </c>
      <c r="O224" s="18">
        <f t="shared" si="262"/>
        <v>1148.15362149688</v>
      </c>
      <c r="P224" s="86" t="str">
        <f t="shared" si="212"/>
        <v>163,636363636364</v>
      </c>
      <c r="Q224" s="4" t="str">
        <f t="shared" si="213"/>
        <v>1+44,0713603678426i</v>
      </c>
      <c r="R224" s="4">
        <f t="shared" si="224"/>
        <v>44.0827041442814</v>
      </c>
      <c r="S224" s="4">
        <f t="shared" si="225"/>
        <v>1.54810974699643</v>
      </c>
      <c r="T224" s="4" t="str">
        <f t="shared" si="214"/>
        <v>1+0,113116491610796i</v>
      </c>
      <c r="U224" s="4">
        <f t="shared" si="226"/>
        <v>1.00637733513545</v>
      </c>
      <c r="V224" s="4">
        <f t="shared" si="227"/>
        <v>0.112637707313463</v>
      </c>
      <c r="W224" t="str">
        <f t="shared" si="215"/>
        <v>1-0,108210929474614i</v>
      </c>
      <c r="X224" s="4">
        <f t="shared" si="228"/>
        <v>1.00583776289109</v>
      </c>
      <c r="Y224" s="4">
        <f t="shared" si="229"/>
        <v>-0.107791503254239</v>
      </c>
      <c r="Z224" t="str">
        <f t="shared" si="216"/>
        <v>0,999989238720502+0,0224151211054557i</v>
      </c>
      <c r="AA224" s="4">
        <f t="shared" si="230"/>
        <v>1.00024042870251</v>
      </c>
      <c r="AB224" s="4">
        <f t="shared" si="231"/>
        <v>0.0224116092666466</v>
      </c>
      <c r="AC224" s="67" t="str">
        <f t="shared" si="232"/>
        <v>0,0192381654752135-3,75655954510147i</v>
      </c>
      <c r="AD224" s="68">
        <f t="shared" si="233"/>
        <v>11.4959194447896</v>
      </c>
      <c r="AE224" s="31">
        <f t="shared" si="234"/>
        <v>-89.7065783097834</v>
      </c>
      <c r="AF224" s="32" t="str">
        <f t="shared" si="235"/>
        <v>748,315388573934</v>
      </c>
      <c r="AG224" s="32" t="str">
        <f t="shared" si="217"/>
        <v>1+35,9099973367606i</v>
      </c>
      <c r="AH224" s="32">
        <f t="shared" si="236"/>
        <v>35.9239183375944</v>
      </c>
      <c r="AI224" s="32">
        <f t="shared" si="237"/>
        <v>1.54295612345821</v>
      </c>
      <c r="AJ224" s="32" t="str">
        <f t="shared" si="218"/>
        <v>1+0,113116491610796i</v>
      </c>
      <c r="AK224" s="32">
        <f t="shared" si="238"/>
        <v>1.00637733513545</v>
      </c>
      <c r="AL224" s="32">
        <f t="shared" si="239"/>
        <v>0.112637707313463</v>
      </c>
      <c r="AM224" s="32" t="str">
        <f t="shared" si="219"/>
        <v>1-0,019280391599922i</v>
      </c>
      <c r="AN224" s="32">
        <f t="shared" si="240"/>
        <v>1.00018584948011</v>
      </c>
      <c r="AO224" s="32">
        <f t="shared" si="241"/>
        <v>-0.0192780030768173</v>
      </c>
      <c r="AP224" s="30" t="str">
        <f t="shared" si="242"/>
        <v>2,53501796314095-20,8134906631321i</v>
      </c>
      <c r="AQ224" s="32">
        <f t="shared" si="243"/>
        <v>26.4308505811948</v>
      </c>
      <c r="AR224" s="31">
        <f t="shared" si="244"/>
        <v>-83.0557568186726</v>
      </c>
      <c r="AS224" t="str">
        <f t="shared" si="220"/>
        <v>-0,0000504684572142411</v>
      </c>
      <c r="AT224" t="str">
        <f t="shared" si="221"/>
        <v>0,00162099972352971i</v>
      </c>
      <c r="AU224">
        <f t="shared" si="245"/>
        <v>0.00162099972352971</v>
      </c>
      <c r="AV224">
        <f t="shared" si="246"/>
        <v>1.5707963267949</v>
      </c>
      <c r="AW224" t="str">
        <f t="shared" si="222"/>
        <v>1+0,082992212636664i</v>
      </c>
      <c r="AX224">
        <f t="shared" si="247"/>
        <v>1.00343794394986</v>
      </c>
      <c r="AY224">
        <f t="shared" si="248"/>
        <v>0.0828024541973368</v>
      </c>
      <c r="AZ224" t="str">
        <f t="shared" si="223"/>
        <v>1+3,96773408073582i</v>
      </c>
      <c r="BA224">
        <f t="shared" si="249"/>
        <v>4.09181056934855</v>
      </c>
      <c r="BB224">
        <f t="shared" si="250"/>
        <v>1.32390515097124</v>
      </c>
      <c r="BC224" s="30" t="str">
        <f t="shared" si="251"/>
        <v>-0,120120799897651+0,0411032463169206i</v>
      </c>
      <c r="BD224" s="32">
        <f t="shared" si="252"/>
        <v>-17.9267582300072</v>
      </c>
      <c r="BE224" s="31">
        <f t="shared" si="253"/>
        <v>161.109946467449</v>
      </c>
      <c r="BF224" s="30" t="str">
        <f t="shared" si="254"/>
        <v>0,152095888461039+0,452031688474958i</v>
      </c>
      <c r="BG224" s="68">
        <f t="shared" si="255"/>
        <v>-6.43083878521766</v>
      </c>
      <c r="BH224" s="31">
        <f t="shared" si="256"/>
        <v>71.4033681576659</v>
      </c>
      <c r="BI224" s="30" t="str">
        <f t="shared" si="209"/>
        <v>0,550993647954241+2,60433061487452i</v>
      </c>
      <c r="BJ224" s="68">
        <f t="shared" si="257"/>
        <v>8.50409235118759</v>
      </c>
      <c r="BK224" s="31">
        <f t="shared" si="210"/>
        <v>78.0541896487768</v>
      </c>
      <c r="BL224" s="32">
        <f t="shared" si="258"/>
        <v>-6.43083878521766</v>
      </c>
      <c r="BM224" s="31">
        <f t="shared" si="259"/>
        <v>71.4033681576659</v>
      </c>
      <c r="BO224">
        <f t="shared" si="260"/>
        <v>0</v>
      </c>
      <c r="BP224">
        <f t="shared" si="261"/>
        <v>0</v>
      </c>
    </row>
    <row r="225" spans="14:68">
      <c r="N225" s="7">
        <v>7</v>
      </c>
      <c r="O225" s="18">
        <f t="shared" si="262"/>
        <v>1174.89755493953</v>
      </c>
      <c r="P225" s="86" t="str">
        <f t="shared" si="212"/>
        <v>163,636363636364</v>
      </c>
      <c r="Q225" s="4" t="str">
        <f t="shared" si="213"/>
        <v>1+45,0979142246932i</v>
      </c>
      <c r="R225" s="4">
        <f t="shared" si="224"/>
        <v>45.1089998494512</v>
      </c>
      <c r="S225" s="4">
        <f t="shared" si="225"/>
        <v>1.54862598542824</v>
      </c>
      <c r="T225" s="4" t="str">
        <f t="shared" si="214"/>
        <v>1+0,115751313176713i</v>
      </c>
      <c r="U225" s="4">
        <f t="shared" si="226"/>
        <v>1.00667689280232</v>
      </c>
      <c r="V225" s="4">
        <f t="shared" si="227"/>
        <v>0.11523847015621</v>
      </c>
      <c r="W225" t="str">
        <f t="shared" si="215"/>
        <v>1-0,110731485819559i</v>
      </c>
      <c r="X225" s="4">
        <f t="shared" si="228"/>
        <v>1.00611205238373</v>
      </c>
      <c r="Y225" s="4">
        <f t="shared" si="229"/>
        <v>-0.110282209851356</v>
      </c>
      <c r="Z225" t="str">
        <f t="shared" si="216"/>
        <v>0,999988731557024+0,0229372363483373i</v>
      </c>
      <c r="AA225" s="4">
        <f t="shared" si="230"/>
        <v>1.00025175833503</v>
      </c>
      <c r="AB225" s="4">
        <f t="shared" si="231"/>
        <v>0.0229334733963818</v>
      </c>
      <c r="AC225" s="67" t="str">
        <f t="shared" si="232"/>
        <v>0,0154021243588104-3,67316072386476i</v>
      </c>
      <c r="AD225" s="68">
        <f t="shared" si="233"/>
        <v>11.3008749967671</v>
      </c>
      <c r="AE225" s="31">
        <f t="shared" si="234"/>
        <v>-89.7597514468783</v>
      </c>
      <c r="AF225" s="32" t="str">
        <f t="shared" si="235"/>
        <v>748,315388573934</v>
      </c>
      <c r="AG225" s="32" t="str">
        <f t="shared" si="217"/>
        <v>1+36,7464486275278i</v>
      </c>
      <c r="AH225" s="32">
        <f t="shared" si="236"/>
        <v>36.7600528663322</v>
      </c>
      <c r="AI225" s="32">
        <f t="shared" si="237"/>
        <v>1.54358952753886</v>
      </c>
      <c r="AJ225" s="32" t="str">
        <f t="shared" si="218"/>
        <v>1+0,115751313176713i</v>
      </c>
      <c r="AK225" s="32">
        <f t="shared" si="238"/>
        <v>1.00667689280232</v>
      </c>
      <c r="AL225" s="32">
        <f t="shared" si="239"/>
        <v>0.11523847015621</v>
      </c>
      <c r="AM225" s="32" t="str">
        <f t="shared" si="219"/>
        <v>1-0,0197294896126289i</v>
      </c>
      <c r="AN225" s="32">
        <f t="shared" si="240"/>
        <v>1.00019460744416</v>
      </c>
      <c r="AO225" s="32">
        <f t="shared" si="241"/>
        <v>-0.0197269302909053</v>
      </c>
      <c r="AP225" s="30" t="str">
        <f t="shared" si="242"/>
        <v>2,50900781930795-20,3425187263297i</v>
      </c>
      <c r="AQ225" s="32">
        <f t="shared" si="243"/>
        <v>26.233663153055</v>
      </c>
      <c r="AR225" s="31">
        <f t="shared" si="244"/>
        <v>-82.9687570994919</v>
      </c>
      <c r="AS225" t="str">
        <f t="shared" si="220"/>
        <v>-0,0000504684572142411</v>
      </c>
      <c r="AT225" t="str">
        <f t="shared" si="221"/>
        <v>0,001658757657577i</v>
      </c>
      <c r="AU225">
        <f t="shared" si="245"/>
        <v>0.001658757657577</v>
      </c>
      <c r="AV225">
        <f t="shared" si="246"/>
        <v>1.5707963267949</v>
      </c>
      <c r="AW225" t="str">
        <f t="shared" si="222"/>
        <v>1+0,0849253496049727i</v>
      </c>
      <c r="AX225">
        <f t="shared" si="247"/>
        <v>1.00359967865954</v>
      </c>
      <c r="AY225">
        <f t="shared" si="248"/>
        <v>0.0847220591416609</v>
      </c>
      <c r="AZ225" t="str">
        <f t="shared" si="223"/>
        <v>1+4,0601544800505i</v>
      </c>
      <c r="BA225">
        <f t="shared" si="249"/>
        <v>4.18148949560729</v>
      </c>
      <c r="BB225">
        <f t="shared" si="250"/>
        <v>1.3293067634338</v>
      </c>
      <c r="BC225" s="30" t="str">
        <f t="shared" si="251"/>
        <v>-0,120082086977193+0,040623468668608i</v>
      </c>
      <c r="BD225" s="32">
        <f t="shared" si="252"/>
        <v>-17.9398483077057</v>
      </c>
      <c r="BE225" s="31">
        <f t="shared" si="253"/>
        <v>161.309450802477</v>
      </c>
      <c r="BF225" s="30" t="str">
        <f t="shared" si="254"/>
        <v>0,147367010343793+0,441706493240657i</v>
      </c>
      <c r="BG225" s="68">
        <f t="shared" si="255"/>
        <v>-6.63897331093866</v>
      </c>
      <c r="BH225" s="31">
        <f t="shared" si="256"/>
        <v>71.5496993555989</v>
      </c>
      <c r="BI225" s="30" t="str">
        <f t="shared" si="209"/>
        <v>0,525096776935031+2,54469670356725i</v>
      </c>
      <c r="BJ225" s="68">
        <f t="shared" si="257"/>
        <v>8.29381484534923</v>
      </c>
      <c r="BK225" s="31">
        <f t="shared" si="210"/>
        <v>78.3406937029853</v>
      </c>
      <c r="BL225" s="32">
        <f t="shared" si="258"/>
        <v>-6.63897331093866</v>
      </c>
      <c r="BM225" s="31">
        <f t="shared" si="259"/>
        <v>71.5496993555989</v>
      </c>
      <c r="BO225">
        <f t="shared" si="260"/>
        <v>0</v>
      </c>
      <c r="BP225">
        <f t="shared" si="261"/>
        <v>0</v>
      </c>
    </row>
    <row r="226" spans="14:68">
      <c r="N226" s="7">
        <v>8</v>
      </c>
      <c r="O226" s="18">
        <f t="shared" si="262"/>
        <v>1202.26443461741</v>
      </c>
      <c r="P226" s="86" t="str">
        <f t="shared" si="212"/>
        <v>163,636363636364</v>
      </c>
      <c r="Q226" s="4" t="str">
        <f t="shared" si="213"/>
        <v>1+46,148379592607i</v>
      </c>
      <c r="R226" s="4">
        <f t="shared" si="224"/>
        <v>46.1592129376503</v>
      </c>
      <c r="S226" s="4">
        <f t="shared" si="225"/>
        <v>1.54913048425932</v>
      </c>
      <c r="T226" s="4" t="str">
        <f t="shared" si="214"/>
        <v>1+0,118447507621024i</v>
      </c>
      <c r="U226" s="4">
        <f t="shared" si="226"/>
        <v>1.00699047267669</v>
      </c>
      <c r="V226" s="4">
        <f t="shared" si="227"/>
        <v>0.117898192243983</v>
      </c>
      <c r="W226" t="str">
        <f t="shared" si="215"/>
        <v>1-0,11331075346399i</v>
      </c>
      <c r="X226" s="4">
        <f t="shared" si="228"/>
        <v>1.00639918861781</v>
      </c>
      <c r="Y226" s="4">
        <f t="shared" si="229"/>
        <v>-0.112829510759114</v>
      </c>
      <c r="Z226" t="str">
        <f t="shared" si="216"/>
        <v>0,999988200491667+0,0234715132175408i</v>
      </c>
      <c r="AA226" s="4">
        <f t="shared" si="230"/>
        <v>1.00026362177942</v>
      </c>
      <c r="AB226" s="4">
        <f t="shared" si="231"/>
        <v>0.0234674811992374</v>
      </c>
      <c r="AC226" s="67" t="str">
        <f t="shared" si="232"/>
        <v>0,0117342853317938-3,59170180037828i</v>
      </c>
      <c r="AD226" s="68">
        <f t="shared" si="233"/>
        <v>11.1060518020902</v>
      </c>
      <c r="AE226" s="31">
        <f t="shared" si="234"/>
        <v>-89.812812234856</v>
      </c>
      <c r="AF226" s="32" t="str">
        <f t="shared" si="235"/>
        <v>748,315388573934</v>
      </c>
      <c r="AG226" s="32" t="str">
        <f t="shared" si="217"/>
        <v>1+37,6023833717538i</v>
      </c>
      <c r="AH226" s="32">
        <f t="shared" si="236"/>
        <v>37.6156780509982</v>
      </c>
      <c r="AI226" s="32">
        <f t="shared" si="237"/>
        <v>1.54420853468306</v>
      </c>
      <c r="AJ226" s="32" t="str">
        <f t="shared" si="218"/>
        <v>1+0,118447507621024i</v>
      </c>
      <c r="AK226" s="32">
        <f t="shared" si="238"/>
        <v>1.00699047267669</v>
      </c>
      <c r="AL226" s="32">
        <f t="shared" si="239"/>
        <v>0.117898192243983</v>
      </c>
      <c r="AM226" s="32" t="str">
        <f t="shared" si="219"/>
        <v>1-0,0201890484618791i</v>
      </c>
      <c r="AN226" s="32">
        <f t="shared" si="240"/>
        <v>1.00020377807615</v>
      </c>
      <c r="AO226" s="32">
        <f t="shared" si="241"/>
        <v>-0.0201863061294189</v>
      </c>
      <c r="AP226" s="30" t="str">
        <f t="shared" si="242"/>
        <v>2,48416663109521-19,8822689754088i</v>
      </c>
      <c r="AQ226" s="32">
        <f t="shared" si="243"/>
        <v>26.0365926774207</v>
      </c>
      <c r="AR226" s="31">
        <f t="shared" si="244"/>
        <v>-82.8781530427929</v>
      </c>
      <c r="AS226" t="str">
        <f t="shared" si="220"/>
        <v>-0,0000504684572142411</v>
      </c>
      <c r="AT226" t="str">
        <f t="shared" si="221"/>
        <v>0,00169739508689057i</v>
      </c>
      <c r="AU226">
        <f t="shared" si="245"/>
        <v>0.00169739508689057</v>
      </c>
      <c r="AV226">
        <f t="shared" si="246"/>
        <v>1.5707963267949</v>
      </c>
      <c r="AW226" t="str">
        <f t="shared" si="222"/>
        <v>1+0,0869035151177614i</v>
      </c>
      <c r="AX226">
        <f t="shared" si="247"/>
        <v>1.00376900776016</v>
      </c>
      <c r="AY226">
        <f t="shared" si="248"/>
        <v>0.0866857296122792</v>
      </c>
      <c r="AZ226" t="str">
        <f t="shared" si="223"/>
        <v>1+4,15472762701297i</v>
      </c>
      <c r="BA226">
        <f t="shared" si="249"/>
        <v>4.27337824848969</v>
      </c>
      <c r="BB226">
        <f t="shared" si="250"/>
        <v>1.33459934454992</v>
      </c>
      <c r="BC226" s="30" t="str">
        <f t="shared" si="251"/>
        <v>-0,120041576308746+0,0401649224725376i</v>
      </c>
      <c r="BD226" s="32">
        <f t="shared" si="252"/>
        <v>-17.9525071827061</v>
      </c>
      <c r="BE226" s="31">
        <f t="shared" si="253"/>
        <v>161.500183332841</v>
      </c>
      <c r="BF226" s="30" t="str">
        <f t="shared" si="254"/>
        <v>0,142851822248582+0,431624852408992i</v>
      </c>
      <c r="BG226" s="68">
        <f t="shared" si="255"/>
        <v>-6.84645538061597</v>
      </c>
      <c r="BH226" s="31">
        <f t="shared" si="256"/>
        <v>71.6873710979848</v>
      </c>
      <c r="BI226" s="30" t="str">
        <f t="shared" si="209"/>
        <v>0,500366513765178+2,48647526854935i</v>
      </c>
      <c r="BJ226" s="68">
        <f t="shared" si="257"/>
        <v>8.08408549471456</v>
      </c>
      <c r="BK226" s="31">
        <f t="shared" si="210"/>
        <v>78.6220302900478</v>
      </c>
      <c r="BL226" s="32">
        <f t="shared" si="258"/>
        <v>-6.84645538061597</v>
      </c>
      <c r="BM226" s="31">
        <f t="shared" si="259"/>
        <v>71.6873710979848</v>
      </c>
      <c r="BO226">
        <f t="shared" si="260"/>
        <v>0</v>
      </c>
      <c r="BP226">
        <f t="shared" si="261"/>
        <v>0</v>
      </c>
    </row>
    <row r="227" spans="14:68">
      <c r="N227" s="7">
        <v>9</v>
      </c>
      <c r="O227" s="18">
        <f t="shared" si="262"/>
        <v>1230.26877081238</v>
      </c>
      <c r="P227" s="86" t="str">
        <f t="shared" si="212"/>
        <v>163,636363636364</v>
      </c>
      <c r="Q227" s="4" t="str">
        <f t="shared" si="213"/>
        <v>1+47,223313442227i</v>
      </c>
      <c r="R227" s="4">
        <f t="shared" si="224"/>
        <v>47.2339002461454</v>
      </c>
      <c r="S227" s="4">
        <f t="shared" si="225"/>
        <v>1.54962350995378</v>
      </c>
      <c r="T227" s="4" t="str">
        <f t="shared" si="214"/>
        <v>1+0,121206504501716i</v>
      </c>
      <c r="U227" s="4">
        <f t="shared" si="226"/>
        <v>1.00731872648806</v>
      </c>
      <c r="V227" s="4">
        <f t="shared" si="227"/>
        <v>0.120618133193917</v>
      </c>
      <c r="W227" t="str">
        <f t="shared" si="215"/>
        <v>1-0,115950099969754i</v>
      </c>
      <c r="X227" s="4">
        <f t="shared" si="228"/>
        <v>1.00669976938658</v>
      </c>
      <c r="Y227" s="4">
        <f t="shared" si="229"/>
        <v>-0.115434624288275</v>
      </c>
      <c r="Z227" t="str">
        <f t="shared" si="216"/>
        <v>0,999987644397972+0,0240182349937347i</v>
      </c>
      <c r="AA227" s="4">
        <f t="shared" si="230"/>
        <v>1.00027604418021</v>
      </c>
      <c r="AB227" s="4">
        <f t="shared" si="231"/>
        <v>0.0240139146726422</v>
      </c>
      <c r="AC227" s="67" t="str">
        <f t="shared" si="232"/>
        <v>0,00822689086695899-3,51214008129288i</v>
      </c>
      <c r="AD227" s="68">
        <f t="shared" si="233"/>
        <v>10.9114604165547</v>
      </c>
      <c r="AE227" s="31">
        <f t="shared" si="234"/>
        <v>-89.8657897315684</v>
      </c>
      <c r="AF227" s="32" t="str">
        <f t="shared" si="235"/>
        <v>748,315388573934</v>
      </c>
      <c r="AG227" s="32" t="str">
        <f t="shared" si="217"/>
        <v>1+38,4782553973701i</v>
      </c>
      <c r="AH227" s="32">
        <f t="shared" si="236"/>
        <v>38.4912475561035</v>
      </c>
      <c r="AI227" s="32">
        <f t="shared" si="237"/>
        <v>1.54481347119802</v>
      </c>
      <c r="AJ227" s="32" t="str">
        <f t="shared" si="218"/>
        <v>1+0,121206504501716i</v>
      </c>
      <c r="AK227" s="32">
        <f t="shared" si="238"/>
        <v>1.00731872648806</v>
      </c>
      <c r="AL227" s="32">
        <f t="shared" si="239"/>
        <v>0.120618133193917</v>
      </c>
      <c r="AM227" s="32" t="str">
        <f t="shared" si="219"/>
        <v>1-0,0206593118118574i</v>
      </c>
      <c r="AN227" s="32">
        <f t="shared" si="240"/>
        <v>1.00021338081658</v>
      </c>
      <c r="AO227" s="32">
        <f t="shared" si="241"/>
        <v>-0.0206563733835408</v>
      </c>
      <c r="AP227" s="30" t="str">
        <f t="shared" si="242"/>
        <v>2,46044193570525-19,4325016247366i</v>
      </c>
      <c r="AQ227" s="32">
        <f t="shared" si="243"/>
        <v>25.8396451363968</v>
      </c>
      <c r="AR227" s="31">
        <f t="shared" si="244"/>
        <v>-82.7839050847664</v>
      </c>
      <c r="AS227" t="str">
        <f t="shared" si="220"/>
        <v>-0,0000504684572142411</v>
      </c>
      <c r="AT227" t="str">
        <f t="shared" si="221"/>
        <v>0,00173693249754691i</v>
      </c>
      <c r="AU227">
        <f t="shared" si="245"/>
        <v>0.00173693249754691</v>
      </c>
      <c r="AV227">
        <f t="shared" si="246"/>
        <v>1.5707963267949</v>
      </c>
      <c r="AW227" t="str">
        <f t="shared" si="222"/>
        <v>1+0,08892775802457i</v>
      </c>
      <c r="AX227">
        <f t="shared" si="247"/>
        <v>1.00394628648513</v>
      </c>
      <c r="AY227">
        <f t="shared" si="248"/>
        <v>0.0886944461643029</v>
      </c>
      <c r="AZ227" t="str">
        <f t="shared" si="223"/>
        <v>1+4,25150366555763i</v>
      </c>
      <c r="BA227">
        <f t="shared" si="249"/>
        <v>4.36752600659114</v>
      </c>
      <c r="BB227">
        <f t="shared" si="250"/>
        <v>1.33978451397956</v>
      </c>
      <c r="BC227" s="30" t="str">
        <f t="shared" si="251"/>
        <v>-0,119999185716792+0,0397273429323841i</v>
      </c>
      <c r="BD227" s="32">
        <f t="shared" si="252"/>
        <v>-17.9647577975932</v>
      </c>
      <c r="BE227" s="31">
        <f t="shared" si="253"/>
        <v>161.68218067655</v>
      </c>
      <c r="BF227" s="30" t="str">
        <f t="shared" si="254"/>
        <v>0,138540773231078+0,421780782393192i</v>
      </c>
      <c r="BG227" s="68">
        <f t="shared" si="255"/>
        <v>-7.05329738103847</v>
      </c>
      <c r="BH227" s="31">
        <f t="shared" si="256"/>
        <v>71.8163909449817</v>
      </c>
      <c r="BI227" s="30" t="str">
        <f t="shared" si="209"/>
        <v>0,476750627291945+2,42963119195361i</v>
      </c>
      <c r="BJ227" s="68">
        <f t="shared" si="257"/>
        <v>7.87488733880367</v>
      </c>
      <c r="BK227" s="31">
        <f t="shared" si="210"/>
        <v>78.8982755917837</v>
      </c>
      <c r="BL227" s="32">
        <f t="shared" si="258"/>
        <v>-7.05329738103847</v>
      </c>
      <c r="BM227" s="31">
        <f t="shared" si="259"/>
        <v>71.8163909449817</v>
      </c>
      <c r="BO227">
        <f t="shared" si="260"/>
        <v>0</v>
      </c>
      <c r="BP227">
        <f t="shared" si="261"/>
        <v>0</v>
      </c>
    </row>
    <row r="228" spans="14:68">
      <c r="N228" s="7">
        <v>10</v>
      </c>
      <c r="O228" s="18">
        <f t="shared" si="262"/>
        <v>1258.92541179417</v>
      </c>
      <c r="P228" s="86" t="str">
        <f t="shared" si="212"/>
        <v>163,636363636364</v>
      </c>
      <c r="Q228" s="4" t="str">
        <f t="shared" si="213"/>
        <v>1+48,3232857177086i</v>
      </c>
      <c r="R228" s="4">
        <f t="shared" si="224"/>
        <v>48.3336315887323</v>
      </c>
      <c r="S228" s="4">
        <f t="shared" si="225"/>
        <v>1.5501053229611</v>
      </c>
      <c r="T228" s="4" t="str">
        <f t="shared" si="214"/>
        <v>1+0,124029766675452i</v>
      </c>
      <c r="U228" s="4">
        <f t="shared" si="226"/>
        <v>1.00766233581571</v>
      </c>
      <c r="V228" s="4">
        <f t="shared" si="227"/>
        <v>0.123399574089481</v>
      </c>
      <c r="W228" t="str">
        <f t="shared" si="215"/>
        <v>1-0,118650924753302i</v>
      </c>
      <c r="X228" s="4">
        <f t="shared" si="228"/>
        <v>1.00701441992894</v>
      </c>
      <c r="Y228" s="4">
        <f t="shared" si="229"/>
        <v>-0.118098790188809</v>
      </c>
      <c r="Z228" t="str">
        <f t="shared" si="216"/>
        <v>0,999987062096388+0,0245776915560412i</v>
      </c>
      <c r="AA228" s="4">
        <f t="shared" si="230"/>
        <v>1.0002890518657</v>
      </c>
      <c r="AB228" s="4">
        <f t="shared" si="231"/>
        <v>0.0245730623207946</v>
      </c>
      <c r="AC228" s="67" t="str">
        <f t="shared" si="232"/>
        <v>0,00487252184670974-3,4344338450728i</v>
      </c>
      <c r="AD228" s="68">
        <f t="shared" si="233"/>
        <v>10.7171118474762</v>
      </c>
      <c r="AE228" s="31">
        <f t="shared" si="234"/>
        <v>-89.9187130215083</v>
      </c>
      <c r="AF228" s="32" t="str">
        <f t="shared" si="235"/>
        <v>748,315388573934</v>
      </c>
      <c r="AG228" s="32" t="str">
        <f t="shared" si="217"/>
        <v>1+39,3745291033181i</v>
      </c>
      <c r="AH228" s="32">
        <f t="shared" si="236"/>
        <v>39.3872256208538</v>
      </c>
      <c r="AI228" s="32">
        <f t="shared" si="237"/>
        <v>1.54540465605709</v>
      </c>
      <c r="AJ228" s="32" t="str">
        <f t="shared" si="218"/>
        <v>1+0,124029766675452i</v>
      </c>
      <c r="AK228" s="32">
        <f t="shared" si="238"/>
        <v>1.00766233581571</v>
      </c>
      <c r="AL228" s="32">
        <f t="shared" si="239"/>
        <v>0.123399574089481</v>
      </c>
      <c r="AM228" s="32" t="str">
        <f t="shared" si="219"/>
        <v>1-0,0211405290024168i</v>
      </c>
      <c r="AN228" s="32">
        <f t="shared" si="240"/>
        <v>1.00022343602142</v>
      </c>
      <c r="AO228" s="32">
        <f t="shared" si="241"/>
        <v>-0.0211373804577344</v>
      </c>
      <c r="AP228" s="30" t="str">
        <f t="shared" si="242"/>
        <v>2,4377836184761-18,9929821639061i</v>
      </c>
      <c r="AQ228" s="32">
        <f t="shared" si="243"/>
        <v>25.6428267510371</v>
      </c>
      <c r="AR228" s="31">
        <f t="shared" si="244"/>
        <v>-82.6859723330891</v>
      </c>
      <c r="AS228" t="str">
        <f t="shared" si="220"/>
        <v>-0,0000504684572142411</v>
      </c>
      <c r="AT228" t="str">
        <f t="shared" si="221"/>
        <v>0,00177739085280447i</v>
      </c>
      <c r="AU228">
        <f t="shared" si="245"/>
        <v>0.00177739085280447</v>
      </c>
      <c r="AV228">
        <f t="shared" si="246"/>
        <v>1.5707963267949</v>
      </c>
      <c r="AW228" t="str">
        <f t="shared" si="222"/>
        <v>1+0,0909991516057813i</v>
      </c>
      <c r="AX228">
        <f t="shared" si="247"/>
        <v>1.00413188655324</v>
      </c>
      <c r="AY228">
        <f t="shared" si="248"/>
        <v>0.0907492089694531</v>
      </c>
      <c r="AZ228" t="str">
        <f t="shared" si="223"/>
        <v>1+4,35053390762107i</v>
      </c>
      <c r="BA228">
        <f t="shared" si="249"/>
        <v>4.46398311840005</v>
      </c>
      <c r="BB228">
        <f t="shared" si="250"/>
        <v>1.34486390521051</v>
      </c>
      <c r="BC228" s="30" t="str">
        <f t="shared" si="251"/>
        <v>-0,119954829394646+0,0393104748590721i</v>
      </c>
      <c r="BD228" s="32">
        <f t="shared" si="252"/>
        <v>-17.9766225368567</v>
      </c>
      <c r="BE228" s="31">
        <f t="shared" si="253"/>
        <v>161.855479119944</v>
      </c>
      <c r="BF228" s="30" t="str">
        <f t="shared" si="254"/>
        <v>0,134424742795037+0,412168467100461i</v>
      </c>
      <c r="BG228" s="68">
        <f t="shared" si="255"/>
        <v>-7.25951068938051</v>
      </c>
      <c r="BH228" s="31">
        <f t="shared" si="256"/>
        <v>71.9367660984357</v>
      </c>
      <c r="BI228" s="30" t="str">
        <f t="shared" si="209"/>
        <v>0,454199229797672+2,37413036681287i</v>
      </c>
      <c r="BJ228" s="68">
        <f t="shared" si="257"/>
        <v>7.66620421418042</v>
      </c>
      <c r="BK228" s="31">
        <f t="shared" si="210"/>
        <v>79.1695067868549</v>
      </c>
      <c r="BL228" s="32">
        <f t="shared" si="258"/>
        <v>-7.25951068938051</v>
      </c>
      <c r="BM228" s="31">
        <f t="shared" si="259"/>
        <v>71.9367660984357</v>
      </c>
      <c r="BO228">
        <f t="shared" si="260"/>
        <v>0</v>
      </c>
      <c r="BP228">
        <f t="shared" si="261"/>
        <v>0</v>
      </c>
    </row>
    <row r="229" spans="14:68">
      <c r="N229" s="7">
        <v>11</v>
      </c>
      <c r="O229" s="18">
        <f t="shared" si="262"/>
        <v>1288.24955169313</v>
      </c>
      <c r="P229" s="86" t="str">
        <f t="shared" si="212"/>
        <v>163,636363636364</v>
      </c>
      <c r="Q229" s="4" t="str">
        <f t="shared" si="213"/>
        <v>1+49,4488796389115i</v>
      </c>
      <c r="R229" s="4">
        <f t="shared" si="224"/>
        <v>49.4589900578606</v>
      </c>
      <c r="S229" s="4">
        <f t="shared" si="225"/>
        <v>1.55057617784959</v>
      </c>
      <c r="T229" s="4" t="str">
        <f t="shared" si="214"/>
        <v>1+0,126918791073206i</v>
      </c>
      <c r="U229" s="4">
        <f t="shared" si="226"/>
        <v>1.00802201341413</v>
      </c>
      <c r="V229" s="4">
        <f t="shared" si="227"/>
        <v>0.126243817448207</v>
      </c>
      <c r="W229" t="str">
        <f t="shared" si="215"/>
        <v>1-0,121414659827685i</v>
      </c>
      <c r="X229" s="4">
        <f t="shared" si="228"/>
        <v>1.00734379415425</v>
      </c>
      <c r="Y229" s="4">
        <f t="shared" si="229"/>
        <v>-0.120823269677899</v>
      </c>
      <c r="Z229" t="str">
        <f t="shared" si="216"/>
        <v>0,999986452351776+0,0251501795357346i</v>
      </c>
      <c r="AA229" s="4">
        <f t="shared" si="230"/>
        <v>1.00030267240359</v>
      </c>
      <c r="AB229" s="4">
        <f t="shared" si="231"/>
        <v>0.025145219301816</v>
      </c>
      <c r="AC229" s="67" t="str">
        <f t="shared" si="232"/>
        <v>0,0016640820000528-3,35854232207615i</v>
      </c>
      <c r="AD229" s="68">
        <f t="shared" si="233"/>
        <v>10.5230175732673</v>
      </c>
      <c r="AE229" s="31">
        <f t="shared" si="234"/>
        <v>-89.9716112353453</v>
      </c>
      <c r="AF229" s="32" t="str">
        <f t="shared" si="235"/>
        <v>748,315388573934</v>
      </c>
      <c r="AG229" s="32" t="str">
        <f t="shared" si="217"/>
        <v>1+40,2916797057797i</v>
      </c>
      <c r="AH229" s="32">
        <f t="shared" si="236"/>
        <v>40.3040873052987</v>
      </c>
      <c r="AI229" s="32">
        <f t="shared" si="237"/>
        <v>1.54598240106039</v>
      </c>
      <c r="AJ229" s="32" t="str">
        <f t="shared" si="218"/>
        <v>1+0,126918791073206i</v>
      </c>
      <c r="AK229" s="32">
        <f t="shared" si="238"/>
        <v>1.00802201341413</v>
      </c>
      <c r="AL229" s="32">
        <f t="shared" si="239"/>
        <v>0.126243817448207</v>
      </c>
      <c r="AM229" s="32" t="str">
        <f t="shared" si="219"/>
        <v>1-0,021632955181281i</v>
      </c>
      <c r="AN229" s="32">
        <f t="shared" si="240"/>
        <v>1.00023396500513</v>
      </c>
      <c r="AO229" s="32">
        <f t="shared" si="241"/>
        <v>-0.02162958149749</v>
      </c>
      <c r="AP229" s="30" t="str">
        <f t="shared" si="242"/>
        <v>2,41614380834627-18,5634812521935i</v>
      </c>
      <c r="AQ229" s="32">
        <f t="shared" si="243"/>
        <v>25.4461439924876</v>
      </c>
      <c r="AR229" s="31">
        <f t="shared" si="244"/>
        <v>-82.5843125852999</v>
      </c>
      <c r="AS229" t="str">
        <f t="shared" si="220"/>
        <v>-0,0000504684572142411</v>
      </c>
      <c r="AT229" t="str">
        <f t="shared" si="221"/>
        <v>0,00181879160421871i</v>
      </c>
      <c r="AU229">
        <f t="shared" si="245"/>
        <v>0.00181879160421871</v>
      </c>
      <c r="AV229">
        <f t="shared" si="246"/>
        <v>1.5707963267949</v>
      </c>
      <c r="AW229" t="str">
        <f t="shared" si="222"/>
        <v>1+0,0931187941416894i</v>
      </c>
      <c r="AX229">
        <f t="shared" si="247"/>
        <v>1.0043261969213</v>
      </c>
      <c r="AY229">
        <f t="shared" si="248"/>
        <v>0.0928510380492673</v>
      </c>
      <c r="AZ229" t="str">
        <f t="shared" si="223"/>
        <v>1+4,45187086034842i</v>
      </c>
      <c r="BA229">
        <f t="shared" si="249"/>
        <v>4.5628011305797</v>
      </c>
      <c r="BB229">
        <f t="shared" si="250"/>
        <v>1.3498391625412</v>
      </c>
      <c r="BC229" s="30" t="str">
        <f t="shared" si="251"/>
        <v>-0,119908417756001+0,0389140724323243i</v>
      </c>
      <c r="BD229" s="32">
        <f t="shared" si="252"/>
        <v>-17.9881232489425</v>
      </c>
      <c r="BE229" s="31">
        <f t="shared" si="253"/>
        <v>162.020114431452</v>
      </c>
      <c r="BF229" s="30" t="str">
        <f t="shared" si="254"/>
        <v>0,130495021748655+0,4027822520142i</v>
      </c>
      <c r="BG229" s="68">
        <f t="shared" si="255"/>
        <v>-7.46510567567519</v>
      </c>
      <c r="BH229" s="31">
        <f t="shared" si="256"/>
        <v>72.0485031961072</v>
      </c>
      <c r="BI229" s="30" t="str">
        <f t="shared" si="209"/>
        <v>0,432664672914192+2,31993966015861i</v>
      </c>
      <c r="BJ229" s="68">
        <f t="shared" si="257"/>
        <v>7.45802074354515</v>
      </c>
      <c r="BK229" s="31">
        <f t="shared" si="210"/>
        <v>79.4358018461525</v>
      </c>
      <c r="BL229" s="32">
        <f t="shared" si="258"/>
        <v>-7.46510567567519</v>
      </c>
      <c r="BM229" s="31">
        <f t="shared" si="259"/>
        <v>72.0485031961072</v>
      </c>
      <c r="BO229">
        <f t="shared" si="260"/>
        <v>0</v>
      </c>
      <c r="BP229">
        <f t="shared" si="261"/>
        <v>0</v>
      </c>
    </row>
    <row r="230" spans="14:68">
      <c r="N230" s="7">
        <v>12</v>
      </c>
      <c r="O230" s="18">
        <f t="shared" si="262"/>
        <v>1318.25673855641</v>
      </c>
      <c r="P230" s="86" t="str">
        <f t="shared" si="212"/>
        <v>163,636363636364</v>
      </c>
      <c r="Q230" s="4" t="str">
        <f t="shared" si="213"/>
        <v>1+50,6006920106329i</v>
      </c>
      <c r="R230" s="4">
        <f t="shared" si="224"/>
        <v>50.6105723338012</v>
      </c>
      <c r="S230" s="4">
        <f t="shared" si="225"/>
        <v>1.55103632343715</v>
      </c>
      <c r="T230" s="4" t="str">
        <f t="shared" si="214"/>
        <v>1+0,129875109493958i</v>
      </c>
      <c r="U230" s="4">
        <f t="shared" si="226"/>
        <v>1.00839850459333</v>
      </c>
      <c r="V230" s="4">
        <f t="shared" si="227"/>
        <v>0.12915218715421</v>
      </c>
      <c r="W230" t="str">
        <f t="shared" si="215"/>
        <v>1-0,124242770561822i</v>
      </c>
      <c r="X230" s="4">
        <f t="shared" si="228"/>
        <v>1.00768857591861</v>
      </c>
      <c r="Y230" s="4">
        <f t="shared" si="229"/>
        <v>-0.123609345437817</v>
      </c>
      <c r="Z230" t="str">
        <f t="shared" si="216"/>
        <v>0,999985813870786+0,0257360024735202i</v>
      </c>
      <c r="AA230" s="4">
        <f t="shared" si="230"/>
        <v>1.00031693465928</v>
      </c>
      <c r="AB230" s="4">
        <f t="shared" si="231"/>
        <v>0.0257306875780164</v>
      </c>
      <c r="AC230" s="67" t="str">
        <f t="shared" si="232"/>
        <v>-0,00140521699032696-3,28442567498874i</v>
      </c>
      <c r="AD230" s="68">
        <f t="shared" si="233"/>
        <v>10.3291895636669</v>
      </c>
      <c r="AE230" s="31">
        <f t="shared" si="234"/>
        <v>-90.0245135697685</v>
      </c>
      <c r="AF230" s="32" t="str">
        <f t="shared" si="235"/>
        <v>748,315388573934</v>
      </c>
      <c r="AG230" s="32" t="str">
        <f t="shared" si="217"/>
        <v>1+41,2301934901453i</v>
      </c>
      <c r="AH230" s="32">
        <f t="shared" si="236"/>
        <v>41.2423187422194</v>
      </c>
      <c r="AI230" s="32">
        <f t="shared" si="237"/>
        <v>1.54654701099233</v>
      </c>
      <c r="AJ230" s="32" t="str">
        <f t="shared" si="218"/>
        <v>1+0,129875109493958i</v>
      </c>
      <c r="AK230" s="32">
        <f t="shared" si="238"/>
        <v>1.00839850459333</v>
      </c>
      <c r="AL230" s="32">
        <f t="shared" si="239"/>
        <v>0.12915218715421</v>
      </c>
      <c r="AM230" s="32" t="str">
        <f t="shared" si="219"/>
        <v>1-0,0221368514393286i</v>
      </c>
      <c r="AN230" s="32">
        <f t="shared" si="240"/>
        <v>1.00024499008575</v>
      </c>
      <c r="AO230" s="32">
        <f t="shared" si="241"/>
        <v>-0.0221332365198353</v>
      </c>
      <c r="AP230" s="30" t="str">
        <f t="shared" si="242"/>
        <v>2,39547677792353-18,1437746145081i</v>
      </c>
      <c r="AQ230" s="32">
        <f t="shared" si="243"/>
        <v>25.2496035934715</v>
      </c>
      <c r="AR230" s="31">
        <f t="shared" si="244"/>
        <v>-82.4788823491647</v>
      </c>
      <c r="AS230" t="str">
        <f t="shared" si="220"/>
        <v>-0,0000504684572142411</v>
      </c>
      <c r="AT230" t="str">
        <f t="shared" si="221"/>
        <v>0,00186115670301609i</v>
      </c>
      <c r="AU230">
        <f t="shared" si="245"/>
        <v>0.00186115670301609</v>
      </c>
      <c r="AV230">
        <f t="shared" si="246"/>
        <v>1.5707963267949</v>
      </c>
      <c r="AW230" t="str">
        <f t="shared" si="222"/>
        <v>1+0,0952878094948255i</v>
      </c>
      <c r="AX230">
        <f t="shared" si="247"/>
        <v>1.00452962456979</v>
      </c>
      <c r="AY230">
        <f t="shared" si="248"/>
        <v>0.0950009734985553</v>
      </c>
      <c r="AZ230" t="str">
        <f t="shared" si="223"/>
        <v>1+4,55556825393346i</v>
      </c>
      <c r="BA230">
        <f t="shared" si="249"/>
        <v>4.66403281680633</v>
      </c>
      <c r="BB230">
        <f t="shared" si="250"/>
        <v>1.35471193824719</v>
      </c>
      <c r="BC230" s="30" t="str">
        <f t="shared" si="251"/>
        <v>-0,119859857281575+0,0385378989603735i</v>
      </c>
      <c r="BD230" s="32">
        <f t="shared" si="252"/>
        <v>-17.9992812689534</v>
      </c>
      <c r="BE230" s="31">
        <f t="shared" si="253"/>
        <v>162.17612168645</v>
      </c>
      <c r="BF230" s="30" t="str">
        <f t="shared" si="254"/>
        <v>0,126743293913483+0,3936166385457i</v>
      </c>
      <c r="BG230" s="68">
        <f t="shared" si="255"/>
        <v>-7.67009170528646</v>
      </c>
      <c r="BH230" s="31">
        <f t="shared" si="256"/>
        <v>72.1516081166814</v>
      </c>
      <c r="BI230" s="30" t="str">
        <f t="shared" si="209"/>
        <v>0,412101448130461+2,26702687787354i</v>
      </c>
      <c r="BJ230" s="68">
        <f t="shared" si="257"/>
        <v>7.25032232451811</v>
      </c>
      <c r="BK230" s="31">
        <f t="shared" si="210"/>
        <v>79.6972393372852</v>
      </c>
      <c r="BL230" s="32">
        <f t="shared" si="258"/>
        <v>-7.67009170528646</v>
      </c>
      <c r="BM230" s="31">
        <f t="shared" si="259"/>
        <v>72.1516081166814</v>
      </c>
      <c r="BO230">
        <f t="shared" si="260"/>
        <v>0</v>
      </c>
      <c r="BP230">
        <f t="shared" si="261"/>
        <v>0</v>
      </c>
    </row>
    <row r="231" spans="14:68">
      <c r="N231" s="7">
        <v>13</v>
      </c>
      <c r="O231" s="18">
        <f t="shared" si="262"/>
        <v>1348.96288259165</v>
      </c>
      <c r="P231" s="86" t="str">
        <f t="shared" si="212"/>
        <v>163,636363636364</v>
      </c>
      <c r="Q231" s="4" t="str">
        <f t="shared" si="213"/>
        <v>1+51,7793335390372i</v>
      </c>
      <c r="R231" s="4">
        <f t="shared" si="224"/>
        <v>51.7889890010112</v>
      </c>
      <c r="S231" s="4">
        <f t="shared" si="225"/>
        <v>1.55148600291919</v>
      </c>
      <c r="T231" s="4" t="str">
        <f t="shared" si="214"/>
        <v>1+0,132900289416862i</v>
      </c>
      <c r="U231" s="4">
        <f t="shared" si="226"/>
        <v>1.00879258865591</v>
      </c>
      <c r="V231" s="4">
        <f t="shared" si="227"/>
        <v>0.132126028352645</v>
      </c>
      <c r="W231" t="str">
        <f t="shared" si="215"/>
        <v>1-0,127136756457457i</v>
      </c>
      <c r="X231" s="4">
        <f t="shared" si="228"/>
        <v>1.00804948035427</v>
      </c>
      <c r="Y231" s="4">
        <f t="shared" si="229"/>
        <v>-0.12645832158111</v>
      </c>
      <c r="Z231" t="str">
        <f t="shared" si="216"/>
        <v>0,999985145299113+0,0263354709804733i</v>
      </c>
      <c r="AA231" s="4">
        <f t="shared" si="230"/>
        <v>1.00033186885686</v>
      </c>
      <c r="AB231" s="4">
        <f t="shared" si="231"/>
        <v>0.0263297760693213</v>
      </c>
      <c r="AC231" s="67" t="str">
        <f t="shared" si="232"/>
        <v>-0,00434186974120176-3,212044979611i</v>
      </c>
      <c r="AD231" s="68">
        <f t="shared" si="233"/>
        <v>10.1356403006339</v>
      </c>
      <c r="AE231" s="31">
        <f t="shared" si="234"/>
        <v>-90.0774493076611</v>
      </c>
      <c r="AF231" s="32" t="str">
        <f t="shared" si="235"/>
        <v>748,315388573934</v>
      </c>
      <c r="AG231" s="32" t="str">
        <f t="shared" si="217"/>
        <v>1+42,1905680688451i</v>
      </c>
      <c r="AH231" s="32">
        <f t="shared" si="236"/>
        <v>42.2024173948822</v>
      </c>
      <c r="AI231" s="32">
        <f t="shared" si="237"/>
        <v>1.54709878377584</v>
      </c>
      <c r="AJ231" s="32" t="str">
        <f t="shared" si="218"/>
        <v>1+0,132900289416862i</v>
      </c>
      <c r="AK231" s="32">
        <f t="shared" si="238"/>
        <v>1.00879258865591</v>
      </c>
      <c r="AL231" s="32">
        <f t="shared" si="239"/>
        <v>0.132126028352645</v>
      </c>
      <c r="AM231" s="32" t="str">
        <f t="shared" si="219"/>
        <v>1-0,022652484949025i</v>
      </c>
      <c r="AN231" s="32">
        <f t="shared" si="240"/>
        <v>1.00025653463217</v>
      </c>
      <c r="AO231" s="32">
        <f t="shared" si="241"/>
        <v>-0.0226486115466526</v>
      </c>
      <c r="AP231" s="30" t="str">
        <f t="shared" si="242"/>
        <v>2,3757388479596-17,7336429388666i</v>
      </c>
      <c r="AQ231" s="32">
        <f t="shared" si="243"/>
        <v>25.0532125601252</v>
      </c>
      <c r="AR231" s="31">
        <f t="shared" si="244"/>
        <v>-82.3696368652005</v>
      </c>
      <c r="AS231" t="str">
        <f t="shared" si="220"/>
        <v>-0,0000504684572142411</v>
      </c>
      <c r="AT231" t="str">
        <f t="shared" si="221"/>
        <v>0,00190450861173271i</v>
      </c>
      <c r="AU231">
        <f t="shared" si="245"/>
        <v>0.00190450861173271</v>
      </c>
      <c r="AV231">
        <f t="shared" si="246"/>
        <v>1.5707963267949</v>
      </c>
      <c r="AW231" t="str">
        <f t="shared" si="222"/>
        <v>1+0,097507347705838i</v>
      </c>
      <c r="AX231">
        <f t="shared" si="247"/>
        <v>1.00474259532311</v>
      </c>
      <c r="AY231">
        <f t="shared" si="248"/>
        <v>0.0972000756978751</v>
      </c>
      <c r="AZ231" t="str">
        <f t="shared" si="223"/>
        <v>1+4,66168107010676i</v>
      </c>
      <c r="BA231">
        <f t="shared" si="249"/>
        <v>4.76773220718107</v>
      </c>
      <c r="BB231">
        <f t="shared" si="250"/>
        <v>1.35948388992561</v>
      </c>
      <c r="BC231" s="30" t="str">
        <f t="shared" si="251"/>
        <v>-0,11980905036081+0,0381817266372938i</v>
      </c>
      <c r="BD231" s="32">
        <f t="shared" si="252"/>
        <v>-18.0101174419211</v>
      </c>
      <c r="BE231" s="31">
        <f t="shared" si="253"/>
        <v>162.323535102925</v>
      </c>
      <c r="BF231" s="30" t="str">
        <f t="shared" si="254"/>
        <v>0,123161618648683+0,384666278639848i</v>
      </c>
      <c r="BG231" s="68">
        <f t="shared" si="255"/>
        <v>-7.87447714128713</v>
      </c>
      <c r="BH231" s="31">
        <f t="shared" si="256"/>
        <v>72.2460857952636</v>
      </c>
      <c r="BI231" s="30" t="str">
        <f t="shared" si="209"/>
        <v>0,392466091695855+2,21536073119768i</v>
      </c>
      <c r="BJ231" s="68">
        <f t="shared" si="257"/>
        <v>7.04309511820412</v>
      </c>
      <c r="BK231" s="31">
        <f t="shared" si="210"/>
        <v>79.9538982377242</v>
      </c>
      <c r="BL231" s="32">
        <f t="shared" si="258"/>
        <v>-7.87447714128713</v>
      </c>
      <c r="BM231" s="31">
        <f t="shared" si="259"/>
        <v>72.2460857952636</v>
      </c>
      <c r="BO231">
        <f t="shared" si="260"/>
        <v>0</v>
      </c>
      <c r="BP231">
        <f t="shared" si="261"/>
        <v>0</v>
      </c>
    </row>
    <row r="232" spans="14:68">
      <c r="N232" s="7">
        <v>14</v>
      </c>
      <c r="O232" s="18">
        <f t="shared" si="262"/>
        <v>1380.38426460289</v>
      </c>
      <c r="P232" s="86" t="str">
        <f t="shared" si="212"/>
        <v>163,636363636364</v>
      </c>
      <c r="Q232" s="4" t="str">
        <f t="shared" si="213"/>
        <v>1+52,9854291554649i</v>
      </c>
      <c r="R232" s="4">
        <f t="shared" si="224"/>
        <v>52.9948648718797</v>
      </c>
      <c r="S232" s="4">
        <f t="shared" si="225"/>
        <v>1.55192545399385</v>
      </c>
      <c r="T232" s="4" t="str">
        <f t="shared" si="214"/>
        <v>1+0,13599593483236i</v>
      </c>
      <c r="U232" s="4">
        <f t="shared" si="226"/>
        <v>1.00920508039294</v>
      </c>
      <c r="V232" s="4">
        <f t="shared" si="227"/>
        <v>0.135166707303096</v>
      </c>
      <c r="W232" t="str">
        <f t="shared" si="215"/>
        <v>1-0,130098151944222i</v>
      </c>
      <c r="X232" s="4">
        <f t="shared" si="228"/>
        <v>1.00842725525409</v>
      </c>
      <c r="Y232" s="4">
        <f t="shared" si="229"/>
        <v>-0.1293715235804</v>
      </c>
      <c r="Z232" t="str">
        <f t="shared" si="216"/>
        <v>0,999984445218629+0,0269489029027316i</v>
      </c>
      <c r="AA232" s="4">
        <f t="shared" si="230"/>
        <v>1.000347506643</v>
      </c>
      <c r="AB232" s="4">
        <f t="shared" si="231"/>
        <v>0.0269428008099153</v>
      </c>
      <c r="AC232" s="67" t="str">
        <f t="shared" si="232"/>
        <v>-0,00715209081107304-3,14136220599599i</v>
      </c>
      <c r="AD232" s="68">
        <f t="shared" si="233"/>
        <v>9.94238279991331</v>
      </c>
      <c r="AE232" s="31">
        <f t="shared" si="234"/>
        <v>-90.1304478386281</v>
      </c>
      <c r="AF232" s="32" t="str">
        <f t="shared" si="235"/>
        <v>748,315388573934</v>
      </c>
      <c r="AG232" s="32" t="str">
        <f t="shared" si="217"/>
        <v>1+43,1733126451936i</v>
      </c>
      <c r="AH232" s="32">
        <f t="shared" si="236"/>
        <v>43.1848923208063</v>
      </c>
      <c r="AI232" s="32">
        <f t="shared" si="237"/>
        <v>1.54763801062347</v>
      </c>
      <c r="AJ232" s="32" t="str">
        <f t="shared" si="218"/>
        <v>1+0,13599593483236i</v>
      </c>
      <c r="AK232" s="32">
        <f t="shared" si="238"/>
        <v>1.00920508039294</v>
      </c>
      <c r="AL232" s="32">
        <f t="shared" si="239"/>
        <v>0.135166707303096</v>
      </c>
      <c r="AM232" s="32" t="str">
        <f t="shared" si="219"/>
        <v>1-0,0231801291060827i</v>
      </c>
      <c r="AN232" s="32">
        <f t="shared" si="240"/>
        <v>1.0002686231135</v>
      </c>
      <c r="AO232" s="32">
        <f t="shared" si="241"/>
        <v>-0.0231759787408597</v>
      </c>
      <c r="AP232" s="30" t="str">
        <f t="shared" si="242"/>
        <v>2,35688829604036-17,3328717754074i</v>
      </c>
      <c r="AQ232" s="32">
        <f t="shared" si="243"/>
        <v>24.8569781841894</v>
      </c>
      <c r="AR232" s="31">
        <f t="shared" si="244"/>
        <v>-82.2565301315362</v>
      </c>
      <c r="AS232" t="str">
        <f t="shared" si="220"/>
        <v>-0,0000504684572142411</v>
      </c>
      <c r="AT232" t="str">
        <f t="shared" si="221"/>
        <v>0,00194887031612444i</v>
      </c>
      <c r="AU232">
        <f t="shared" si="245"/>
        <v>0.00194887031612444</v>
      </c>
      <c r="AV232">
        <f t="shared" si="246"/>
        <v>1.5707963267949</v>
      </c>
      <c r="AW232" t="str">
        <f t="shared" si="222"/>
        <v>1+0,0997785856032675i</v>
      </c>
      <c r="AX232">
        <f t="shared" si="247"/>
        <v>1.00496555470573</v>
      </c>
      <c r="AY232">
        <f t="shared" si="248"/>
        <v>0.0994494255137498</v>
      </c>
      <c r="AZ232" t="str">
        <f t="shared" si="223"/>
        <v>1+4,77026557128812i</v>
      </c>
      <c r="BA232">
        <f t="shared" si="249"/>
        <v>4.87395461823526</v>
      </c>
      <c r="BB232">
        <f t="shared" si="250"/>
        <v>1.36415667801118</v>
      </c>
      <c r="BC232" s="30" t="str">
        <f t="shared" si="251"/>
        <v>-0,11975589512861+0,0378453362973724i</v>
      </c>
      <c r="BD232" s="32">
        <f t="shared" si="252"/>
        <v>-18.0206521465736</v>
      </c>
      <c r="BE232" s="31">
        <f t="shared" si="253"/>
        <v>162.462387887689</v>
      </c>
      <c r="BF232" s="30" t="str">
        <f t="shared" si="254"/>
        <v>0,119742414154895+0,37592596962026i</v>
      </c>
      <c r="BG232" s="68">
        <f t="shared" si="255"/>
        <v>-8.07826934666032</v>
      </c>
      <c r="BH232" s="31">
        <f t="shared" si="256"/>
        <v>72.331940049061</v>
      </c>
      <c r="BI232" s="30" t="str">
        <f t="shared" si="209"/>
        <v>0,37371709372907+2,16491080479232i</v>
      </c>
      <c r="BJ232" s="68">
        <f t="shared" si="257"/>
        <v>6.83632603761573</v>
      </c>
      <c r="BK232" s="31">
        <f t="shared" si="210"/>
        <v>80.205857756153</v>
      </c>
      <c r="BL232" s="32">
        <f t="shared" si="258"/>
        <v>-8.07826934666032</v>
      </c>
      <c r="BM232" s="31">
        <f t="shared" si="259"/>
        <v>72.331940049061</v>
      </c>
      <c r="BO232">
        <f t="shared" si="260"/>
        <v>0</v>
      </c>
      <c r="BP232">
        <f t="shared" si="261"/>
        <v>0</v>
      </c>
    </row>
    <row r="233" spans="14:68">
      <c r="N233" s="7">
        <v>15</v>
      </c>
      <c r="O233" s="18">
        <f t="shared" si="262"/>
        <v>1412.53754462275</v>
      </c>
      <c r="P233" s="86" t="str">
        <f t="shared" si="212"/>
        <v>163,636363636364</v>
      </c>
      <c r="Q233" s="4" t="str">
        <f t="shared" si="213"/>
        <v>1+54,2196183477752i</v>
      </c>
      <c r="R233" s="4">
        <f t="shared" si="224"/>
        <v>54.2288393180087</v>
      </c>
      <c r="S233" s="4">
        <f t="shared" si="225"/>
        <v>1.5523549089846</v>
      </c>
      <c r="T233" s="4" t="str">
        <f t="shared" si="214"/>
        <v>1+0,139163687092623i</v>
      </c>
      <c r="U233" s="4">
        <f t="shared" si="226"/>
        <v>1.00963683164057</v>
      </c>
      <c r="V233" s="4">
        <f t="shared" si="227"/>
        <v>0.138275611188648</v>
      </c>
      <c r="W233" t="str">
        <f t="shared" si="215"/>
        <v>1-0,133128527193198i</v>
      </c>
      <c r="X233" s="4">
        <f t="shared" si="228"/>
        <v>1.00882268251295</v>
      </c>
      <c r="Y233" s="4">
        <f t="shared" si="229"/>
        <v>-0.13235029815987</v>
      </c>
      <c r="Z233" t="str">
        <f t="shared" si="216"/>
        <v>0,999983712144368+0,0275766234900196i</v>
      </c>
      <c r="AA233" s="4">
        <f t="shared" si="230"/>
        <v>1.00036388115382</v>
      </c>
      <c r="AB233" s="4">
        <f t="shared" si="231"/>
        <v>0.0275700851081454</v>
      </c>
      <c r="AC233" s="67" t="str">
        <f t="shared" si="232"/>
        <v>-0,00984182775943496-3,0723401999377i</v>
      </c>
      <c r="AD233" s="68">
        <f t="shared" si="233"/>
        <v>9.74943063328647</v>
      </c>
      <c r="AE233" s="31">
        <f t="shared" si="234"/>
        <v>-90.183538679903</v>
      </c>
      <c r="AF233" s="32" t="str">
        <f t="shared" si="235"/>
        <v>748,315388573934</v>
      </c>
      <c r="AG233" s="32" t="str">
        <f t="shared" si="217"/>
        <v>1+44,1789482833724i</v>
      </c>
      <c r="AH233" s="32">
        <f t="shared" si="236"/>
        <v>44.1902644416719</v>
      </c>
      <c r="AI233" s="32">
        <f t="shared" si="237"/>
        <v>1.54816497618539</v>
      </c>
      <c r="AJ233" s="32" t="str">
        <f t="shared" si="218"/>
        <v>1+0,139163687092623i</v>
      </c>
      <c r="AK233" s="32">
        <f t="shared" si="238"/>
        <v>1.00963683164057</v>
      </c>
      <c r="AL233" s="32">
        <f t="shared" si="239"/>
        <v>0.138275611188648</v>
      </c>
      <c r="AM233" s="32" t="str">
        <f t="shared" si="219"/>
        <v>1-0,0237200636744174i</v>
      </c>
      <c r="AN233" s="32">
        <f t="shared" si="240"/>
        <v>1.00028128115082</v>
      </c>
      <c r="AO233" s="32">
        <f t="shared" si="241"/>
        <v>-0.0237156165454958</v>
      </c>
      <c r="AP233" s="30" t="str">
        <f t="shared" si="242"/>
        <v>2,3388852693091-16,9412514369708i</v>
      </c>
      <c r="AQ233" s="32">
        <f t="shared" si="243"/>
        <v>24.660908055564</v>
      </c>
      <c r="AR233" s="31">
        <f t="shared" si="244"/>
        <v>-82.1395149313007</v>
      </c>
      <c r="AS233" t="str">
        <f t="shared" si="220"/>
        <v>-0,0000504684572142411</v>
      </c>
      <c r="AT233" t="str">
        <f t="shared" si="221"/>
        <v>0,0019942653373541i</v>
      </c>
      <c r="AU233">
        <f t="shared" si="245"/>
        <v>0.0019942653373541</v>
      </c>
      <c r="AV233">
        <f t="shared" si="246"/>
        <v>1.5707963267949</v>
      </c>
      <c r="AW233" t="str">
        <f t="shared" si="222"/>
        <v>1+0,102102727427508i</v>
      </c>
      <c r="AX233">
        <f t="shared" si="247"/>
        <v>1.00519896883559</v>
      </c>
      <c r="AY233">
        <f t="shared" si="248"/>
        <v>0.101750124485197</v>
      </c>
      <c r="AZ233" t="str">
        <f t="shared" si="223"/>
        <v>1+4,88137933041725i</v>
      </c>
      <c r="BA233">
        <f t="shared" si="249"/>
        <v>4.98275668354624</v>
      </c>
      <c r="BB233">
        <f t="shared" si="250"/>
        <v>1.36873196345757</v>
      </c>
      <c r="BC233" s="30" t="str">
        <f t="shared" si="251"/>
        <v>-0,11970028529709+0,037528517165937i</v>
      </c>
      <c r="BD233" s="32">
        <f t="shared" si="252"/>
        <v>-18.0309053195337</v>
      </c>
      <c r="BE233" s="31">
        <f t="shared" si="253"/>
        <v>162.59271209284</v>
      </c>
      <c r="BF233" s="30" t="str">
        <f t="shared" si="254"/>
        <v>0,116478441523609+0,367390649260247i</v>
      </c>
      <c r="BG233" s="68">
        <f t="shared" si="255"/>
        <v>-8.28147468624724</v>
      </c>
      <c r="BH233" s="31">
        <f t="shared" si="256"/>
        <v>72.4091734129375</v>
      </c>
      <c r="BI233" s="30" t="str">
        <f t="shared" si="209"/>
        <v>0,355814811351353+2,11564752627356i</v>
      </c>
      <c r="BJ233" s="68">
        <f t="shared" si="257"/>
        <v>6.63000273603027</v>
      </c>
      <c r="BK233" s="31">
        <f t="shared" si="210"/>
        <v>80.4531971615397</v>
      </c>
      <c r="BL233" s="32">
        <f t="shared" si="258"/>
        <v>-8.28147468624724</v>
      </c>
      <c r="BM233" s="31">
        <f t="shared" si="259"/>
        <v>72.4091734129375</v>
      </c>
      <c r="BO233">
        <f t="shared" si="260"/>
        <v>0</v>
      </c>
      <c r="BP233">
        <f t="shared" si="261"/>
        <v>0</v>
      </c>
    </row>
    <row r="234" spans="14:68">
      <c r="N234" s="7">
        <v>16</v>
      </c>
      <c r="O234" s="18">
        <f t="shared" si="262"/>
        <v>1445.43977074593</v>
      </c>
      <c r="P234" s="86" t="str">
        <f t="shared" si="212"/>
        <v>163,636363636364</v>
      </c>
      <c r="Q234" s="4" t="str">
        <f t="shared" si="213"/>
        <v>1+55,4825554994157i</v>
      </c>
      <c r="R234" s="4">
        <f t="shared" si="224"/>
        <v>55.4915666092222</v>
      </c>
      <c r="S234" s="4">
        <f t="shared" si="225"/>
        <v>1.55277459496016</v>
      </c>
      <c r="T234" s="4" t="str">
        <f t="shared" si="214"/>
        <v>1+0,142405225781833i</v>
      </c>
      <c r="U234" s="4">
        <f t="shared" si="226"/>
        <v>1.01008873289923</v>
      </c>
      <c r="V234" s="4">
        <f t="shared" si="227"/>
        <v>0.141454147877324</v>
      </c>
      <c r="W234" t="str">
        <f t="shared" si="215"/>
        <v>1-0,136229488949458i</v>
      </c>
      <c r="X234" s="4">
        <f t="shared" si="228"/>
        <v>1.0092365796281</v>
      </c>
      <c r="Y234" s="4">
        <f t="shared" si="229"/>
        <v>-0.135396013145479</v>
      </c>
      <c r="Z234" t="str">
        <f t="shared" si="216"/>
        <v>0,999982944521381+0,028218965568102i</v>
      </c>
      <c r="AA234" s="4">
        <f t="shared" si="230"/>
        <v>1.00038102708487</v>
      </c>
      <c r="AB234" s="4">
        <f t="shared" si="231"/>
        <v>0.0282119597097374</v>
      </c>
      <c r="AC234" s="67" t="str">
        <f t="shared" si="232"/>
        <v>-0,0124167736497049-3,00494266480696i</v>
      </c>
      <c r="AD234" s="68">
        <f t="shared" si="233"/>
        <v>9.55679795151032</v>
      </c>
      <c r="AE234" s="31">
        <f t="shared" si="234"/>
        <v>-90.2367514976578</v>
      </c>
      <c r="AF234" s="32" t="str">
        <f t="shared" si="235"/>
        <v>748,315388573934</v>
      </c>
      <c r="AG234" s="32" t="str">
        <f t="shared" si="217"/>
        <v>1+45,208008184709i</v>
      </c>
      <c r="AH234" s="32">
        <f t="shared" si="236"/>
        <v>45.2190668195255</v>
      </c>
      <c r="AI234" s="32">
        <f t="shared" si="237"/>
        <v>1.54867995869439</v>
      </c>
      <c r="AJ234" s="32" t="str">
        <f t="shared" si="218"/>
        <v>1+0,142405225781833i</v>
      </c>
      <c r="AK234" s="32">
        <f t="shared" si="238"/>
        <v>1.01008873289923</v>
      </c>
      <c r="AL234" s="32">
        <f t="shared" si="239"/>
        <v>0.141454147877324</v>
      </c>
      <c r="AM234" s="32" t="str">
        <f t="shared" si="219"/>
        <v>1-0,0242725749344847i</v>
      </c>
      <c r="AN234" s="32">
        <f t="shared" si="240"/>
        <v>1.00029453557137</v>
      </c>
      <c r="AO234" s="32">
        <f t="shared" si="241"/>
        <v>-0.0242678098257691</v>
      </c>
      <c r="AP234" s="30" t="str">
        <f t="shared" si="242"/>
        <v>2,32169170104812-16,5585769012523i</v>
      </c>
      <c r="AQ234" s="32">
        <f t="shared" si="243"/>
        <v>24.4650100752293</v>
      </c>
      <c r="AR234" s="31">
        <f t="shared" si="244"/>
        <v>-82.0185428627359</v>
      </c>
      <c r="AS234" t="str">
        <f t="shared" si="220"/>
        <v>-0,0000504684572142411</v>
      </c>
      <c r="AT234" t="str">
        <f t="shared" si="221"/>
        <v>0,00204071774446288i</v>
      </c>
      <c r="AU234">
        <f t="shared" si="245"/>
        <v>0.00204071774446288</v>
      </c>
      <c r="AV234">
        <f t="shared" si="246"/>
        <v>1.5707963267949</v>
      </c>
      <c r="AW234" t="str">
        <f t="shared" si="222"/>
        <v>1+0,104481005469322i</v>
      </c>
      <c r="AX234">
        <f t="shared" si="247"/>
        <v>1.00544332535647</v>
      </c>
      <c r="AY234">
        <f t="shared" si="248"/>
        <v>0.104103294995109</v>
      </c>
      <c r="AZ234" t="str">
        <f t="shared" si="223"/>
        <v>1+4,99508126148012i</v>
      </c>
      <c r="BA234">
        <f t="shared" si="249"/>
        <v>5.09419638498457</v>
      </c>
      <c r="BB234">
        <f t="shared" si="250"/>
        <v>1.37321140557746</v>
      </c>
      <c r="BC234" s="30" t="str">
        <f t="shared" si="251"/>
        <v>-0,119642109982351+0,0372310666060086i</v>
      </c>
      <c r="BD234" s="32">
        <f t="shared" si="252"/>
        <v>-18.0408964798867</v>
      </c>
      <c r="BE234" s="31">
        <f t="shared" si="253"/>
        <v>162.714538482191</v>
      </c>
      <c r="BF234" s="30" t="str">
        <f t="shared" si="254"/>
        <v>0,113362789499289+0,359055391066709i</v>
      </c>
      <c r="BG234" s="68">
        <f t="shared" si="255"/>
        <v>-8.4840985283764</v>
      </c>
      <c r="BH234" s="31">
        <f t="shared" si="256"/>
        <v>72.4777869845333</v>
      </c>
      <c r="BI234" s="30" t="str">
        <f t="shared" si="209"/>
        <v>0,338721385669329+2,06754213713118i</v>
      </c>
      <c r="BJ234" s="68">
        <f t="shared" si="257"/>
        <v>6.42411359534257</v>
      </c>
      <c r="BK234" s="31">
        <f t="shared" si="210"/>
        <v>80.6959956194553</v>
      </c>
      <c r="BL234" s="32">
        <f t="shared" si="258"/>
        <v>-8.4840985283764</v>
      </c>
      <c r="BM234" s="31">
        <f t="shared" si="259"/>
        <v>72.4777869845333</v>
      </c>
      <c r="BO234">
        <f t="shared" si="260"/>
        <v>0</v>
      </c>
      <c r="BP234">
        <f t="shared" si="261"/>
        <v>0</v>
      </c>
    </row>
    <row r="235" spans="14:68">
      <c r="N235" s="7">
        <v>17</v>
      </c>
      <c r="O235" s="18">
        <f t="shared" si="262"/>
        <v>1479.10838816821</v>
      </c>
      <c r="P235" s="86" t="str">
        <f t="shared" si="212"/>
        <v>163,636363636364</v>
      </c>
      <c r="Q235" s="4" t="str">
        <f t="shared" si="213"/>
        <v>1+56,77491023638i</v>
      </c>
      <c r="R235" s="4">
        <f t="shared" si="224"/>
        <v>56.7837162604651</v>
      </c>
      <c r="S235" s="4">
        <f t="shared" si="225"/>
        <v>1.55318473385187</v>
      </c>
      <c r="T235" s="4" t="str">
        <f t="shared" si="214"/>
        <v>1+0,145722269606709i</v>
      </c>
      <c r="U235" s="4">
        <f t="shared" si="226"/>
        <v>1.01056171501761</v>
      </c>
      <c r="V235" s="4">
        <f t="shared" si="227"/>
        <v>0.144703745632267</v>
      </c>
      <c r="W235" t="str">
        <f t="shared" si="215"/>
        <v>1-0,139402681383969i</v>
      </c>
      <c r="X235" s="4">
        <f t="shared" si="228"/>
        <v>1.00966980126031</v>
      </c>
      <c r="Y235" s="4">
        <f t="shared" si="229"/>
        <v>-0.138510057270594</v>
      </c>
      <c r="Z235" t="str">
        <f t="shared" si="216"/>
        <v>0,999982140721437+0,0288762697152507i</v>
      </c>
      <c r="AA235" s="4">
        <f t="shared" si="230"/>
        <v>1.00039898076442</v>
      </c>
      <c r="AB235" s="4">
        <f t="shared" si="231"/>
        <v>0.0288687629643693</v>
      </c>
      <c r="AC235" s="67" t="str">
        <f t="shared" si="232"/>
        <v>-0,0148823790213278-2,93913414373341i</v>
      </c>
      <c r="AD235" s="68">
        <f t="shared" si="233"/>
        <v>9.36449950795308</v>
      </c>
      <c r="AE235" s="31">
        <f t="shared" si="234"/>
        <v>-90.2901161287409</v>
      </c>
      <c r="AF235" s="32" t="str">
        <f t="shared" si="235"/>
        <v>748,315388573934</v>
      </c>
      <c r="AG235" s="32" t="str">
        <f t="shared" si="217"/>
        <v>1+46,2610379703837i</v>
      </c>
      <c r="AH235" s="32">
        <f t="shared" si="236"/>
        <v>46.2718449394152</v>
      </c>
      <c r="AI235" s="32">
        <f t="shared" si="237"/>
        <v>1.54918323010776</v>
      </c>
      <c r="AJ235" s="32" t="str">
        <f t="shared" si="218"/>
        <v>1+0,145722269606709i</v>
      </c>
      <c r="AK235" s="32">
        <f t="shared" si="238"/>
        <v>1.01056171501761</v>
      </c>
      <c r="AL235" s="32">
        <f t="shared" si="239"/>
        <v>0.144703745632267</v>
      </c>
      <c r="AM235" s="32" t="str">
        <f t="shared" si="219"/>
        <v>1-0,0248379558350677i</v>
      </c>
      <c r="AN235" s="32">
        <f t="shared" si="240"/>
        <v>1.00030841446529</v>
      </c>
      <c r="AO235" s="32">
        <f t="shared" si="241"/>
        <v>-0.024832850014107</v>
      </c>
      <c r="AP235" s="30" t="str">
        <f t="shared" si="242"/>
        <v>2,30527123095119-16,1846477145473i</v>
      </c>
      <c r="AQ235" s="32">
        <f t="shared" si="243"/>
        <v>24.2692924685398</v>
      </c>
      <c r="AR235" s="31">
        <f t="shared" si="244"/>
        <v>-81.893564372245</v>
      </c>
      <c r="AS235" t="str">
        <f t="shared" si="220"/>
        <v>-0,0000504684572142411</v>
      </c>
      <c r="AT235" t="str">
        <f t="shared" si="221"/>
        <v>0,00208825216713185i</v>
      </c>
      <c r="AU235">
        <f t="shared" si="245"/>
        <v>0.00208825216713185</v>
      </c>
      <c r="AV235">
        <f t="shared" si="246"/>
        <v>1.5707963267949</v>
      </c>
      <c r="AW235" t="str">
        <f t="shared" si="222"/>
        <v>1+0,106914680723204i</v>
      </c>
      <c r="AX235">
        <f t="shared" si="247"/>
        <v>1.00569913441056</v>
      </c>
      <c r="AY235">
        <f t="shared" si="248"/>
        <v>0.10651008042485</v>
      </c>
      <c r="AZ235" t="str">
        <f t="shared" si="223"/>
        <v>1+5,11143165074551i</v>
      </c>
      <c r="BA235">
        <f t="shared" si="249"/>
        <v>5.20833308460999</v>
      </c>
      <c r="BB235">
        <f t="shared" si="250"/>
        <v>1.37759666003504</v>
      </c>
      <c r="BC235" s="30" t="str">
        <f t="shared" si="251"/>
        <v>-0,119581253526313+0,0369527898601428i</v>
      </c>
      <c r="BD235" s="32">
        <f t="shared" si="252"/>
        <v>-18.0506447540649</v>
      </c>
      <c r="BE235" s="31">
        <f t="shared" si="253"/>
        <v>162.827896407383</v>
      </c>
      <c r="BF235" s="30" t="str">
        <f t="shared" si="254"/>
        <v>0,110388859922976+0,350915399765034i</v>
      </c>
      <c r="BG235" s="68">
        <f t="shared" si="255"/>
        <v>-8.68614524611185</v>
      </c>
      <c r="BH235" s="31">
        <f t="shared" si="256"/>
        <v>72.5377802786423</v>
      </c>
      <c r="BI235" s="30" t="str">
        <f t="shared" si="209"/>
        <v>0,322400662440817+2,02056666495531i</v>
      </c>
      <c r="BJ235" s="68">
        <f t="shared" si="257"/>
        <v>6.21864771447482</v>
      </c>
      <c r="BK235" s="31">
        <f t="shared" si="210"/>
        <v>80.9343320351382</v>
      </c>
      <c r="BL235" s="32">
        <f t="shared" si="258"/>
        <v>-8.68614524611185</v>
      </c>
      <c r="BM235" s="31">
        <f t="shared" si="259"/>
        <v>72.5377802786423</v>
      </c>
      <c r="BO235">
        <f t="shared" si="260"/>
        <v>0</v>
      </c>
      <c r="BP235">
        <f t="shared" si="261"/>
        <v>0</v>
      </c>
    </row>
    <row r="236" spans="14:68">
      <c r="N236" s="7">
        <v>18</v>
      </c>
      <c r="O236" s="18">
        <f t="shared" si="262"/>
        <v>1513.56124843621</v>
      </c>
      <c r="P236" s="86" t="str">
        <f t="shared" si="212"/>
        <v>163,636363636364</v>
      </c>
      <c r="Q236" s="4" t="str">
        <f t="shared" si="213"/>
        <v>1+58,0973677822565i</v>
      </c>
      <c r="R236" s="4">
        <f t="shared" si="224"/>
        <v>58.1059733867937</v>
      </c>
      <c r="S236" s="4">
        <f t="shared" si="225"/>
        <v>1.55358554256855</v>
      </c>
      <c r="T236" s="4" t="str">
        <f t="shared" si="214"/>
        <v>1+0,149116577307792i</v>
      </c>
      <c r="U236" s="4">
        <f t="shared" si="226"/>
        <v>1.01105675094328</v>
      </c>
      <c r="V236" s="4">
        <f t="shared" si="227"/>
        <v>0.148025852766969</v>
      </c>
      <c r="W236" t="str">
        <f t="shared" si="215"/>
        <v>1-0,142649786965362i</v>
      </c>
      <c r="X236" s="4">
        <f t="shared" si="228"/>
        <v>1.0101232408579</v>
      </c>
      <c r="Y236" s="4">
        <f t="shared" si="229"/>
        <v>-0.14169383993373</v>
      </c>
      <c r="Z236" t="str">
        <f t="shared" si="216"/>
        <v>0,999981299039569+0,029548884442825i</v>
      </c>
      <c r="AA236" s="4">
        <f t="shared" si="230"/>
        <v>1.00041778023018</v>
      </c>
      <c r="AB236" s="4">
        <f t="shared" si="231"/>
        <v>0.0295408409956513</v>
      </c>
      <c r="AC236" s="67" t="str">
        <f t="shared" si="232"/>
        <v>-0,0172438633556569-2,8748800021298i</v>
      </c>
      <c r="AD236" s="68">
        <f t="shared" si="233"/>
        <v>9.17255068292695</v>
      </c>
      <c r="AE236" s="31">
        <f t="shared" si="234"/>
        <v>-90.3436626028708</v>
      </c>
      <c r="AF236" s="32" t="str">
        <f t="shared" si="235"/>
        <v>748,315388573934</v>
      </c>
      <c r="AG236" s="32" t="str">
        <f t="shared" si="217"/>
        <v>1+47,3385959707275i</v>
      </c>
      <c r="AH236" s="32">
        <f t="shared" si="236"/>
        <v>47.349156998618</v>
      </c>
      <c r="AI236" s="32">
        <f t="shared" si="237"/>
        <v>1.54967505624632</v>
      </c>
      <c r="AJ236" s="32" t="str">
        <f t="shared" si="218"/>
        <v>1+0,149116577307792i</v>
      </c>
      <c r="AK236" s="32">
        <f t="shared" si="238"/>
        <v>1.01105675094328</v>
      </c>
      <c r="AL236" s="32">
        <f t="shared" si="239"/>
        <v>0.148025852766969</v>
      </c>
      <c r="AM236" s="32" t="str">
        <f t="shared" si="219"/>
        <v>1-0,0254165061486036i</v>
      </c>
      <c r="AN236" s="32">
        <f t="shared" si="240"/>
        <v>1.00032294724494</v>
      </c>
      <c r="AO236" s="32">
        <f t="shared" si="241"/>
        <v>-0.0254110352582649</v>
      </c>
      <c r="AP236" s="30" t="str">
        <f t="shared" si="242"/>
        <v>2,28958912892604-15,8192678970883i</v>
      </c>
      <c r="AQ236" s="32">
        <f t="shared" si="243"/>
        <v>24.0737637988912</v>
      </c>
      <c r="AR236" s="31">
        <f t="shared" si="244"/>
        <v>-81.7645287905971</v>
      </c>
      <c r="AS236" t="str">
        <f t="shared" si="220"/>
        <v>-0,0000504684572142411</v>
      </c>
      <c r="AT236" t="str">
        <f t="shared" si="221"/>
        <v>0,00213689380874112i</v>
      </c>
      <c r="AU236">
        <f t="shared" si="245"/>
        <v>0.00213689380874112</v>
      </c>
      <c r="AV236">
        <f t="shared" si="246"/>
        <v>1.5707963267949</v>
      </c>
      <c r="AW236" t="str">
        <f t="shared" si="222"/>
        <v>1+0,109405043555989i</v>
      </c>
      <c r="AX236">
        <f t="shared" si="247"/>
        <v>1.005966929653</v>
      </c>
      <c r="AY236">
        <f t="shared" si="248"/>
        <v>0.108971645290398</v>
      </c>
      <c r="AZ236" t="str">
        <f t="shared" si="223"/>
        <v>1+5,23049218872993i</v>
      </c>
      <c r="BA236">
        <f t="shared" si="249"/>
        <v>5.3252275572378</v>
      </c>
      <c r="BB236">
        <f t="shared" si="250"/>
        <v>1.38188937698402</v>
      </c>
      <c r="BC236" s="30" t="str">
        <f t="shared" si="251"/>
        <v>-0,119517595313648+0,0366934997867756i</v>
      </c>
      <c r="BD236" s="32">
        <f t="shared" si="252"/>
        <v>-18.0601689010007</v>
      </c>
      <c r="BE236" s="31">
        <f t="shared" si="253"/>
        <v>162.932813693411</v>
      </c>
      <c r="BF236" s="30" t="str">
        <f t="shared" si="254"/>
        <v>0,10755035382734+0,342966006973485i</v>
      </c>
      <c r="BG236" s="68">
        <f t="shared" si="255"/>
        <v>-8.88761821807379</v>
      </c>
      <c r="BH236" s="31">
        <f t="shared" si="256"/>
        <v>72.5891510905398</v>
      </c>
      <c r="BI236" s="30" t="str">
        <f t="shared" si="209"/>
        <v>0,306818116263245+1,97469389689643i</v>
      </c>
      <c r="BJ236" s="68">
        <f t="shared" si="257"/>
        <v>6.01359489789044</v>
      </c>
      <c r="BK236" s="31">
        <f t="shared" si="210"/>
        <v>81.1682849028134</v>
      </c>
      <c r="BL236" s="32">
        <f t="shared" si="258"/>
        <v>-8.88761821807379</v>
      </c>
      <c r="BM236" s="31">
        <f t="shared" si="259"/>
        <v>72.5891510905398</v>
      </c>
      <c r="BO236">
        <f t="shared" si="260"/>
        <v>0</v>
      </c>
      <c r="BP236">
        <f t="shared" si="261"/>
        <v>0</v>
      </c>
    </row>
    <row r="237" spans="14:68">
      <c r="N237" s="7">
        <v>19</v>
      </c>
      <c r="O237" s="18">
        <f t="shared" si="262"/>
        <v>1548.81661891248</v>
      </c>
      <c r="P237" s="86" t="str">
        <f t="shared" si="212"/>
        <v>163,636363636364</v>
      </c>
      <c r="Q237" s="4" t="str">
        <f t="shared" si="213"/>
        <v>1+59,4506293215406i</v>
      </c>
      <c r="R237" s="4">
        <f t="shared" si="224"/>
        <v>59.4590390666316</v>
      </c>
      <c r="S237" s="4">
        <f t="shared" si="225"/>
        <v>1.55397723310889</v>
      </c>
      <c r="T237" s="4" t="str">
        <f t="shared" si="214"/>
        <v>1+0,152589948591954i</v>
      </c>
      <c r="U237" s="4">
        <f t="shared" si="226"/>
        <v>1.01157485754209</v>
      </c>
      <c r="V237" s="4">
        <f t="shared" si="227"/>
        <v>0.151421937241584</v>
      </c>
      <c r="W237" t="str">
        <f t="shared" si="215"/>
        <v>1-0,145972527351997i</v>
      </c>
      <c r="X237" s="4">
        <f t="shared" si="228"/>
        <v>1.01059783234555</v>
      </c>
      <c r="Y237" s="4">
        <f t="shared" si="229"/>
        <v>-0.144948790904777</v>
      </c>
      <c r="Z237" t="str">
        <f t="shared" si="216"/>
        <v>0,999980417690457+0,0302371663800565i</v>
      </c>
      <c r="AA237" s="4">
        <f t="shared" si="230"/>
        <v>1.00043746530959</v>
      </c>
      <c r="AB237" s="4">
        <f t="shared" si="231"/>
        <v>0.0302285478745573</v>
      </c>
      <c r="AC237" s="67" t="str">
        <f t="shared" si="232"/>
        <v>-0,0195062260590421-2,81214641055661i</v>
      </c>
      <c r="AD237" s="68">
        <f t="shared" si="233"/>
        <v>8.98096750872112</v>
      </c>
      <c r="AE237" s="31">
        <f t="shared" si="234"/>
        <v>-90.3974211653085</v>
      </c>
      <c r="AF237" s="32" t="str">
        <f t="shared" si="235"/>
        <v>748,315388573934</v>
      </c>
      <c r="AG237" s="32" t="str">
        <f t="shared" si="217"/>
        <v>1+48,4412535212553i</v>
      </c>
      <c r="AH237" s="32">
        <f t="shared" si="236"/>
        <v>48.4515742026049</v>
      </c>
      <c r="AI237" s="32">
        <f t="shared" si="237"/>
        <v>1.55015569693051</v>
      </c>
      <c r="AJ237" s="32" t="str">
        <f t="shared" si="218"/>
        <v>1+0,152589948591954i</v>
      </c>
      <c r="AK237" s="32">
        <f t="shared" si="238"/>
        <v>1.01157485754209</v>
      </c>
      <c r="AL237" s="32">
        <f t="shared" si="239"/>
        <v>0.151421937241584</v>
      </c>
      <c r="AM237" s="32" t="str">
        <f t="shared" si="219"/>
        <v>1-0,0260085326301267i</v>
      </c>
      <c r="AN237" s="32">
        <f t="shared" si="240"/>
        <v>1.0003381647071</v>
      </c>
      <c r="AO237" s="32">
        <f t="shared" si="241"/>
        <v>-0.0260026705725364</v>
      </c>
      <c r="AP237" s="30" t="str">
        <f t="shared" si="242"/>
        <v>2,2746122222735-15,4622458499829i</v>
      </c>
      <c r="AQ237" s="32">
        <f t="shared" si="243"/>
        <v>23.8784329817638</v>
      </c>
      <c r="AR237" s="31">
        <f t="shared" si="244"/>
        <v>-81.6313843725165</v>
      </c>
      <c r="AS237" t="str">
        <f t="shared" si="220"/>
        <v>-0,0000504684572142411</v>
      </c>
      <c r="AT237" t="str">
        <f t="shared" si="221"/>
        <v>0,00218666845973291i</v>
      </c>
      <c r="AU237">
        <f t="shared" si="245"/>
        <v>0.00218666845973291</v>
      </c>
      <c r="AV237">
        <f t="shared" si="246"/>
        <v>1.5707963267949</v>
      </c>
      <c r="AW237" t="str">
        <f t="shared" si="222"/>
        <v>1+0,111953414391014i</v>
      </c>
      <c r="AX237">
        <f t="shared" si="247"/>
        <v>1.00624726930999</v>
      </c>
      <c r="AY237">
        <f t="shared" si="248"/>
        <v>0.111489175358183</v>
      </c>
      <c r="AZ237" t="str">
        <f t="shared" si="223"/>
        <v>1+5,35232600290655i</v>
      </c>
      <c r="BA237">
        <f t="shared" si="249"/>
        <v>5.44494202369406</v>
      </c>
      <c r="BB237">
        <f t="shared" si="250"/>
        <v>1.386091199345</v>
      </c>
      <c r="BC237" s="30" t="str">
        <f t="shared" si="251"/>
        <v>-0,119451009583897+0,0364530165903786i</v>
      </c>
      <c r="BD237" s="32">
        <f t="shared" si="252"/>
        <v>-18.069487337506</v>
      </c>
      <c r="BE237" s="31">
        <f t="shared" si="253"/>
        <v>163.029316533277</v>
      </c>
      <c r="BF237" s="30" t="str">
        <f t="shared" si="254"/>
        <v>0,104841258154518+0,335202667056573i</v>
      </c>
      <c r="BG237" s="68">
        <f t="shared" si="255"/>
        <v>-9.08851982878484</v>
      </c>
      <c r="BH237" s="31">
        <f t="shared" si="256"/>
        <v>72.6318953679686</v>
      </c>
      <c r="BI237" s="30" t="str">
        <f t="shared" si="209"/>
        <v>0,291940778131498+1,92989735429009i</v>
      </c>
      <c r="BJ237" s="68">
        <f t="shared" si="257"/>
        <v>5.80894564425786</v>
      </c>
      <c r="BK237" s="31">
        <f t="shared" si="210"/>
        <v>81.3979321607606</v>
      </c>
      <c r="BL237" s="32">
        <f t="shared" si="258"/>
        <v>-9.08851982878484</v>
      </c>
      <c r="BM237" s="31">
        <f t="shared" si="259"/>
        <v>72.6318953679686</v>
      </c>
      <c r="BO237">
        <f t="shared" si="260"/>
        <v>0</v>
      </c>
      <c r="BP237">
        <f t="shared" si="261"/>
        <v>0</v>
      </c>
    </row>
    <row r="238" spans="14:68">
      <c r="N238" s="7">
        <v>20</v>
      </c>
      <c r="O238" s="18">
        <f t="shared" si="262"/>
        <v>1584.89319246112</v>
      </c>
      <c r="P238" s="86" t="str">
        <f t="shared" si="212"/>
        <v>163,636363636364</v>
      </c>
      <c r="Q238" s="4" t="str">
        <f t="shared" si="213"/>
        <v>1+60,8354123714136i</v>
      </c>
      <c r="R238" s="4">
        <f t="shared" si="224"/>
        <v>60.8436307134933</v>
      </c>
      <c r="S238" s="4">
        <f t="shared" si="225"/>
        <v>1.55436001267137</v>
      </c>
      <c r="T238" s="4" t="str">
        <f t="shared" si="214"/>
        <v>1+0,156144225086628i</v>
      </c>
      <c r="U238" s="4">
        <f t="shared" si="226"/>
        <v>1.01211709748818</v>
      </c>
      <c r="V238" s="4">
        <f t="shared" si="227"/>
        <v>0.154893486196194</v>
      </c>
      <c r="W238" t="str">
        <f t="shared" si="215"/>
        <v>1-0,14937266430481i</v>
      </c>
      <c r="X238" s="4">
        <f t="shared" si="228"/>
        <v>1.01109455188005</v>
      </c>
      <c r="Y238" s="4">
        <f t="shared" si="229"/>
        <v>-0.148276359975976</v>
      </c>
      <c r="Z238" t="str">
        <f t="shared" si="216"/>
        <v>0,999979494804641+0,0309414804631392i</v>
      </c>
      <c r="AA238" s="4">
        <f t="shared" si="230"/>
        <v>1.00045807770391</v>
      </c>
      <c r="AB238" s="4">
        <f t="shared" si="231"/>
        <v>0.0309322457963513</v>
      </c>
      <c r="AC238" s="67" t="str">
        <f t="shared" si="232"/>
        <v>-0,0216742569857338-2,75090032792315i</v>
      </c>
      <c r="AD238" s="68">
        <f t="shared" si="233"/>
        <v>8.78976669533137</v>
      </c>
      <c r="AE238" s="31">
        <f t="shared" si="234"/>
        <v>-90.4514223000391</v>
      </c>
      <c r="AF238" s="32" t="str">
        <f t="shared" si="235"/>
        <v>748,315388573934</v>
      </c>
      <c r="AG238" s="32" t="str">
        <f t="shared" si="217"/>
        <v>1+49,5695952655962i</v>
      </c>
      <c r="AH238" s="32">
        <f t="shared" si="236"/>
        <v>49.5796810679034</v>
      </c>
      <c r="AI238" s="32">
        <f t="shared" si="237"/>
        <v>1.55062540611358</v>
      </c>
      <c r="AJ238" s="32" t="str">
        <f t="shared" si="218"/>
        <v>1+0,156144225086628i</v>
      </c>
      <c r="AK238" s="32">
        <f t="shared" si="238"/>
        <v>1.01211709748818</v>
      </c>
      <c r="AL238" s="32">
        <f t="shared" si="239"/>
        <v>0.154893486196194</v>
      </c>
      <c r="AM238" s="32" t="str">
        <f t="shared" si="219"/>
        <v>1-0,0266143491799141i</v>
      </c>
      <c r="AN238" s="32">
        <f t="shared" si="240"/>
        <v>1.00035409909805</v>
      </c>
      <c r="AO238" s="32">
        <f t="shared" si="241"/>
        <v>-0.0266080679921158</v>
      </c>
      <c r="AP238" s="30" t="str">
        <f t="shared" si="242"/>
        <v>2,26030882609573-15,1133942637539i</v>
      </c>
      <c r="AQ238" s="32">
        <f t="shared" si="243"/>
        <v>23.6833092991416</v>
      </c>
      <c r="AR238" s="31">
        <f t="shared" si="244"/>
        <v>-81.4940783399028</v>
      </c>
      <c r="AS238" t="str">
        <f t="shared" si="220"/>
        <v>-0,0000504684572142411</v>
      </c>
      <c r="AT238" t="str">
        <f t="shared" si="221"/>
        <v>0,00223760251128605i</v>
      </c>
      <c r="AU238">
        <f t="shared" si="245"/>
        <v>0.00223760251128605</v>
      </c>
      <c r="AV238">
        <f t="shared" si="246"/>
        <v>1.5707963267949</v>
      </c>
      <c r="AW238" t="str">
        <f t="shared" si="222"/>
        <v>1+0,114561144408228i</v>
      </c>
      <c r="AX238">
        <f t="shared" si="247"/>
        <v>1.00654073728197</v>
      </c>
      <c r="AY238">
        <f t="shared" si="248"/>
        <v>0.114063877738694</v>
      </c>
      <c r="AZ238" t="str">
        <f t="shared" si="223"/>
        <v>1+5,47699769117636i</v>
      </c>
      <c r="BA238">
        <f t="shared" si="249"/>
        <v>5.56754018478099</v>
      </c>
      <c r="BB238">
        <f t="shared" si="250"/>
        <v>1.39020376121545</v>
      </c>
      <c r="BC238" s="30" t="str">
        <f t="shared" si="251"/>
        <v>-0,119381365238876+0,0362311675446867i</v>
      </c>
      <c r="BD238" s="32">
        <f t="shared" si="252"/>
        <v>-18.0786181638404</v>
      </c>
      <c r="BE238" s="31">
        <f t="shared" si="253"/>
        <v>163.117429391535</v>
      </c>
      <c r="BF238" s="30" t="str">
        <f t="shared" si="254"/>
        <v>0,102255833069212+0,327620953147281i</v>
      </c>
      <c r="BG238" s="68">
        <f t="shared" si="255"/>
        <v>-9.28885146850907</v>
      </c>
      <c r="BH238" s="31">
        <f t="shared" si="256"/>
        <v>72.666007091496</v>
      </c>
      <c r="BI238" s="30" t="str">
        <f t="shared" si="209"/>
        <v>0,277737166218185+1,88615126838135i</v>
      </c>
      <c r="BJ238" s="68">
        <f t="shared" si="257"/>
        <v>5.60469113530114</v>
      </c>
      <c r="BK238" s="31">
        <f t="shared" si="210"/>
        <v>81.6233510516322</v>
      </c>
      <c r="BL238" s="32">
        <f t="shared" si="258"/>
        <v>-9.28885146850907</v>
      </c>
      <c r="BM238" s="31">
        <f t="shared" si="259"/>
        <v>72.666007091496</v>
      </c>
      <c r="BO238">
        <f t="shared" si="260"/>
        <v>0</v>
      </c>
      <c r="BP238">
        <f t="shared" si="261"/>
        <v>0</v>
      </c>
    </row>
    <row r="239" spans="14:68">
      <c r="N239" s="7">
        <v>21</v>
      </c>
      <c r="O239" s="18">
        <f t="shared" si="262"/>
        <v>1621.81009735893</v>
      </c>
      <c r="P239" s="86" t="str">
        <f t="shared" si="212"/>
        <v>163,636363636364</v>
      </c>
      <c r="Q239" s="4" t="str">
        <f t="shared" si="213"/>
        <v>1+62,252451162177i</v>
      </c>
      <c r="R239" s="4">
        <f t="shared" si="224"/>
        <v>62.2604824563642</v>
      </c>
      <c r="S239" s="4">
        <f t="shared" si="225"/>
        <v>1.55473408376184</v>
      </c>
      <c r="T239" s="4" t="str">
        <f t="shared" si="214"/>
        <v>1+0,159781291316254i</v>
      </c>
      <c r="U239" s="4">
        <f t="shared" si="226"/>
        <v>1.01268458122689</v>
      </c>
      <c r="V239" s="4">
        <f t="shared" si="227"/>
        <v>0.158442005416698</v>
      </c>
      <c r="W239" t="str">
        <f t="shared" si="215"/>
        <v>1-0,152852000621417i</v>
      </c>
      <c r="X239" s="4">
        <f t="shared" si="228"/>
        <v>1.01161441967479</v>
      </c>
      <c r="Y239" s="4">
        <f t="shared" si="229"/>
        <v>-0.151678016553667</v>
      </c>
      <c r="Z239" t="str">
        <f t="shared" si="216"/>
        <v>0,999978528424556+0,031662200128722i</v>
      </c>
      <c r="AA239" s="4">
        <f t="shared" si="230"/>
        <v>1.00047966107619</v>
      </c>
      <c r="AB239" s="4">
        <f t="shared" si="231"/>
        <v>0.0316523052610519</v>
      </c>
      <c r="AC239" s="67" t="str">
        <f t="shared" si="232"/>
        <v>-0,0237525465222155-2,69110948502172i</v>
      </c>
      <c r="AD239" s="68">
        <f t="shared" si="233"/>
        <v>8.59896565688154</v>
      </c>
      <c r="AE239" s="31">
        <f t="shared" si="234"/>
        <v>-90.5056967534852</v>
      </c>
      <c r="AF239" s="32" t="str">
        <f t="shared" si="235"/>
        <v>748,315388573934</v>
      </c>
      <c r="AG239" s="32" t="str">
        <f t="shared" si="217"/>
        <v>1+50,7242194654775i</v>
      </c>
      <c r="AH239" s="32">
        <f t="shared" si="236"/>
        <v>50.7340757320159</v>
      </c>
      <c r="AI239" s="32">
        <f t="shared" si="237"/>
        <v>1.55108443201204</v>
      </c>
      <c r="AJ239" s="32" t="str">
        <f t="shared" si="218"/>
        <v>1+0,159781291316254i</v>
      </c>
      <c r="AK239" s="32">
        <f t="shared" si="238"/>
        <v>1.01268458122689</v>
      </c>
      <c r="AL239" s="32">
        <f t="shared" si="239"/>
        <v>0.158442005416698</v>
      </c>
      <c r="AM239" s="32" t="str">
        <f t="shared" si="219"/>
        <v>1-0,027234277009919i</v>
      </c>
      <c r="AN239" s="32">
        <f t="shared" si="240"/>
        <v>1.00037078418167</v>
      </c>
      <c r="AO239" s="32">
        <f t="shared" si="241"/>
        <v>-0.0272275467306569</v>
      </c>
      <c r="AP239" s="30" t="str">
        <f t="shared" si="242"/>
        <v>2,24664867679235-14,7725300284799i</v>
      </c>
      <c r="AQ239" s="32">
        <f t="shared" si="243"/>
        <v>23.4884024143051</v>
      </c>
      <c r="AR239" s="31">
        <f t="shared" si="244"/>
        <v>-81.3525569289323</v>
      </c>
      <c r="AS239" t="str">
        <f t="shared" si="220"/>
        <v>-0,0000504684572142411</v>
      </c>
      <c r="AT239" t="str">
        <f t="shared" si="221"/>
        <v>0,00228972296930882i</v>
      </c>
      <c r="AU239">
        <f t="shared" si="245"/>
        <v>0.00228972296930882</v>
      </c>
      <c r="AV239">
        <f t="shared" si="246"/>
        <v>1.5707963267949</v>
      </c>
      <c r="AW239" t="str">
        <f t="shared" si="222"/>
        <v>1+0,117229616260603i</v>
      </c>
      <c r="AX239">
        <f t="shared" si="247"/>
        <v>1.00684794429378</v>
      </c>
      <c r="AY239">
        <f t="shared" si="248"/>
        <v>0.116696980955779</v>
      </c>
      <c r="AZ239" t="str">
        <f t="shared" si="223"/>
        <v>1+5,6045733561186i</v>
      </c>
      <c r="BA239">
        <f t="shared" si="249"/>
        <v>5.69308725597233</v>
      </c>
      <c r="BB239">
        <f t="shared" si="250"/>
        <v>1.39422868640602</v>
      </c>
      <c r="BC239" s="30" t="str">
        <f t="shared" si="251"/>
        <v>-0,119308525645516+0,0360277867082433i</v>
      </c>
      <c r="BD239" s="32">
        <f t="shared" si="252"/>
        <v>-18.0875791894371</v>
      </c>
      <c r="BE239" s="31">
        <f t="shared" si="253"/>
        <v>163.197174916449</v>
      </c>
      <c r="BF239" s="30" t="str">
        <f t="shared" si="254"/>
        <v>0,0997885998407851+0,320216553328725i</v>
      </c>
      <c r="BG239" s="68">
        <f t="shared" si="255"/>
        <v>-9.48861353255552</v>
      </c>
      <c r="BH239" s="31">
        <f t="shared" si="256"/>
        <v>72.691478162964</v>
      </c>
      <c r="BI239" s="30" t="str">
        <f t="shared" si="209"/>
        <v>0,264177219735649+1,84343055708788i</v>
      </c>
      <c r="BJ239" s="68">
        <f t="shared" si="257"/>
        <v>5.40082322486806</v>
      </c>
      <c r="BK239" s="31">
        <f t="shared" si="210"/>
        <v>81.8446179875169</v>
      </c>
      <c r="BL239" s="32">
        <f t="shared" si="258"/>
        <v>-9.48861353255552</v>
      </c>
      <c r="BM239" s="31">
        <f t="shared" si="259"/>
        <v>72.691478162964</v>
      </c>
      <c r="BO239">
        <f t="shared" si="260"/>
        <v>0</v>
      </c>
      <c r="BP239">
        <f t="shared" si="261"/>
        <v>0</v>
      </c>
    </row>
    <row r="240" spans="14:68">
      <c r="N240" s="7">
        <v>22</v>
      </c>
      <c r="O240" s="18">
        <f t="shared" si="262"/>
        <v>1659.58690743756</v>
      </c>
      <c r="P240" s="86" t="str">
        <f t="shared" si="212"/>
        <v>163,636363636364</v>
      </c>
      <c r="Q240" s="4" t="str">
        <f t="shared" si="213"/>
        <v>1+63,7024970265558i</v>
      </c>
      <c r="R240" s="4">
        <f t="shared" si="224"/>
        <v>63.7103455289512</v>
      </c>
      <c r="S240" s="4">
        <f t="shared" si="225"/>
        <v>1.55509964429876</v>
      </c>
      <c r="T240" s="4" t="str">
        <f t="shared" si="214"/>
        <v>1+0,163503075701493i</v>
      </c>
      <c r="U240" s="4">
        <f t="shared" si="226"/>
        <v>1.01327846901227</v>
      </c>
      <c r="V240" s="4">
        <f t="shared" si="227"/>
        <v>0.162069018728812</v>
      </c>
      <c r="W240" t="str">
        <f t="shared" si="215"/>
        <v>1-0,15641238109199i</v>
      </c>
      <c r="X240" s="4">
        <f t="shared" si="228"/>
        <v>1.01215850189526</v>
      </c>
      <c r="Y240" s="4">
        <f t="shared" si="229"/>
        <v>-0.155155249186698</v>
      </c>
      <c r="Z240" t="str">
        <f t="shared" si="216"/>
        <v>0,999977516500381+0,0323997075119121i</v>
      </c>
      <c r="AA240" s="4">
        <f t="shared" si="230"/>
        <v>1.00050226114344</v>
      </c>
      <c r="AB240" s="4">
        <f t="shared" si="231"/>
        <v>0.0323891052574786</v>
      </c>
      <c r="AC240" s="67" t="str">
        <f t="shared" si="232"/>
        <v>-0,025745495253707-2,63274236839115i</v>
      </c>
      <c r="AD240" s="68">
        <f t="shared" si="233"/>
        <v>8.40858253872848</v>
      </c>
      <c r="AE240" s="31">
        <f t="shared" si="234"/>
        <v>-90.5602755587836</v>
      </c>
      <c r="AF240" s="32" t="str">
        <f t="shared" si="235"/>
        <v>748,315388573934</v>
      </c>
      <c r="AG240" s="32" t="str">
        <f t="shared" si="217"/>
        <v>1+51,9057383179343i</v>
      </c>
      <c r="AH240" s="32">
        <f t="shared" si="236"/>
        <v>51.9153702705651</v>
      </c>
      <c r="AI240" s="32">
        <f t="shared" si="237"/>
        <v>1.5515330172333</v>
      </c>
      <c r="AJ240" s="32" t="str">
        <f t="shared" si="218"/>
        <v>1+0,163503075701493i</v>
      </c>
      <c r="AK240" s="32">
        <f t="shared" si="238"/>
        <v>1.01327846901227</v>
      </c>
      <c r="AL240" s="32">
        <f t="shared" si="239"/>
        <v>0.162069018728812</v>
      </c>
      <c r="AM240" s="32" t="str">
        <f t="shared" si="219"/>
        <v>1-0,027868644814083i</v>
      </c>
      <c r="AN240" s="32">
        <f t="shared" si="240"/>
        <v>1.00038825531079</v>
      </c>
      <c r="AO240" s="32">
        <f t="shared" si="241"/>
        <v>-0.027861433341079</v>
      </c>
      <c r="AP240" s="30" t="str">
        <f t="shared" si="242"/>
        <v>2,23360286850968-14,4394741455337i</v>
      </c>
      <c r="AQ240" s="32">
        <f t="shared" si="243"/>
        <v>23.2937223869957</v>
      </c>
      <c r="AR240" s="31">
        <f t="shared" si="244"/>
        <v>-81.2067654413078</v>
      </c>
      <c r="AS240" t="str">
        <f t="shared" si="220"/>
        <v>-0,0000504684572142411</v>
      </c>
      <c r="AT240" t="str">
        <f t="shared" si="221"/>
        <v>0,002343057468758i</v>
      </c>
      <c r="AU240">
        <f t="shared" si="245"/>
        <v>0.002343057468758</v>
      </c>
      <c r="AV240">
        <f t="shared" si="246"/>
        <v>1.5707963267949</v>
      </c>
      <c r="AW240" t="str">
        <f t="shared" si="222"/>
        <v>1+0,119960244807237i</v>
      </c>
      <c r="AX240">
        <f t="shared" si="247"/>
        <v>1.0071695290934</v>
      </c>
      <c r="AY240">
        <f t="shared" si="248"/>
        <v>0.119389734989446</v>
      </c>
      <c r="AZ240" t="str">
        <f t="shared" si="223"/>
        <v>1+5,73512064003961i</v>
      </c>
      <c r="BA240">
        <f t="shared" si="249"/>
        <v>5.82165000286073</v>
      </c>
      <c r="BB240">
        <f t="shared" si="250"/>
        <v>1.3981675870969</v>
      </c>
      <c r="BC240" s="30" t="str">
        <f t="shared" si="251"/>
        <v>-0,119232348434296+0,0358427146314636i</v>
      </c>
      <c r="BD240" s="32">
        <f t="shared" si="252"/>
        <v>-18.096387958756</v>
      </c>
      <c r="BE240" s="31">
        <f t="shared" si="253"/>
        <v>163.268573860562</v>
      </c>
      <c r="BF240" s="30" t="str">
        <f t="shared" si="254"/>
        <v>0,0974343292691111+0,312985266966323i</v>
      </c>
      <c r="BG240" s="68">
        <f t="shared" si="255"/>
        <v>-9.68780542002751</v>
      </c>
      <c r="BH240" s="31">
        <f t="shared" si="256"/>
        <v>72.708298301778</v>
      </c>
      <c r="BI240" s="30" t="str">
        <f t="shared" si="209"/>
        <v>0,251232235744772+1,80171080274429i</v>
      </c>
      <c r="BJ240" s="68">
        <f t="shared" si="257"/>
        <v>5.19733442823973</v>
      </c>
      <c r="BK240" s="31">
        <f t="shared" si="210"/>
        <v>82.0618084192537</v>
      </c>
      <c r="BL240" s="32">
        <f t="shared" si="258"/>
        <v>-9.68780542002751</v>
      </c>
      <c r="BM240" s="31">
        <f t="shared" si="259"/>
        <v>72.708298301778</v>
      </c>
      <c r="BO240">
        <f t="shared" si="260"/>
        <v>0</v>
      </c>
      <c r="BP240">
        <f t="shared" si="261"/>
        <v>0</v>
      </c>
    </row>
    <row r="241" spans="14:68">
      <c r="N241" s="7">
        <v>23</v>
      </c>
      <c r="O241" s="18">
        <f t="shared" si="262"/>
        <v>1698.24365246174</v>
      </c>
      <c r="P241" s="86" t="str">
        <f t="shared" si="212"/>
        <v>163,636363636364</v>
      </c>
      <c r="Q241" s="4" t="str">
        <f t="shared" si="213"/>
        <v>1+65,1863187980599i</v>
      </c>
      <c r="R241" s="4">
        <f t="shared" si="224"/>
        <v>65.1939886679922</v>
      </c>
      <c r="S241" s="4">
        <f t="shared" si="225"/>
        <v>1.55545688771612</v>
      </c>
      <c r="T241" s="4" t="str">
        <f t="shared" si="214"/>
        <v>1+0,167311551581687i</v>
      </c>
      <c r="U241" s="4">
        <f t="shared" si="226"/>
        <v>1.01389997302134</v>
      </c>
      <c r="V241" s="4">
        <f t="shared" si="227"/>
        <v>0.16577606731541</v>
      </c>
      <c r="W241" t="str">
        <f t="shared" si="215"/>
        <v>1-0,160055693477379i</v>
      </c>
      <c r="X241" s="4">
        <f t="shared" si="228"/>
        <v>1.01272791262734</v>
      </c>
      <c r="Y241" s="4">
        <f t="shared" si="229"/>
        <v>-0.158709565027113</v>
      </c>
      <c r="Z241" t="str">
        <f t="shared" si="216"/>
        <v>0,999976456885689+0,0331543936488857i</v>
      </c>
      <c r="AA241" s="4">
        <f t="shared" si="230"/>
        <v>1.00052592577298</v>
      </c>
      <c r="AB241" s="4">
        <f t="shared" si="231"/>
        <v>0.0331430334509133</v>
      </c>
      <c r="AC241" s="67" t="str">
        <f t="shared" si="232"/>
        <v>-0,027657323232763-2,57576820450601i</v>
      </c>
      <c r="AD241" s="68">
        <f t="shared" si="233"/>
        <v>8.21863624523901</v>
      </c>
      <c r="AE241" s="31">
        <f t="shared" si="234"/>
        <v>-90.6151900606474</v>
      </c>
      <c r="AF241" s="32" t="str">
        <f t="shared" si="235"/>
        <v>748,315388573934</v>
      </c>
      <c r="AG241" s="32" t="str">
        <f t="shared" si="217"/>
        <v>1+53,1147782799006i</v>
      </c>
      <c r="AH241" s="32">
        <f t="shared" si="236"/>
        <v>53.1241910218217</v>
      </c>
      <c r="AI241" s="32">
        <f t="shared" si="237"/>
        <v>1.55197139890063</v>
      </c>
      <c r="AJ241" s="32" t="str">
        <f t="shared" si="218"/>
        <v>1+0,167311551581687i</v>
      </c>
      <c r="AK241" s="32">
        <f t="shared" si="238"/>
        <v>1.01389997302134</v>
      </c>
      <c r="AL241" s="32">
        <f t="shared" si="239"/>
        <v>0.16577606731541</v>
      </c>
      <c r="AM241" s="32" t="str">
        <f t="shared" si="219"/>
        <v>1-0,0285177889426124i</v>
      </c>
      <c r="AN241" s="32">
        <f t="shared" si="240"/>
        <v>1.00040654950184</v>
      </c>
      <c r="AO241" s="32">
        <f t="shared" si="241"/>
        <v>-0.0285100618796595</v>
      </c>
      <c r="AP241" s="30" t="str">
        <f t="shared" si="242"/>
        <v>2,22114379241333-14,1140516409147i</v>
      </c>
      <c r="AQ241" s="32">
        <f t="shared" si="243"/>
        <v>23.0992796889452</v>
      </c>
      <c r="AR241" s="31">
        <f t="shared" si="244"/>
        <v>-81.0566482999322</v>
      </c>
      <c r="AS241" t="str">
        <f t="shared" si="220"/>
        <v>-0,0000504684572142411</v>
      </c>
      <c r="AT241" t="str">
        <f t="shared" si="221"/>
        <v>0,00239763428829114i</v>
      </c>
      <c r="AU241">
        <f t="shared" si="245"/>
        <v>0.00239763428829114</v>
      </c>
      <c r="AV241">
        <f t="shared" si="246"/>
        <v>1.5707963267949</v>
      </c>
      <c r="AW241" t="str">
        <f t="shared" si="222"/>
        <v>1+0,122754477863529i</v>
      </c>
      <c r="AX241">
        <f t="shared" si="247"/>
        <v>1.00750615970105</v>
      </c>
      <c r="AY241">
        <f t="shared" si="248"/>
        <v>0.122143411289811</v>
      </c>
      <c r="AZ241" t="str">
        <f t="shared" si="223"/>
        <v>1+5,86870876083722i</v>
      </c>
      <c r="BA241">
        <f t="shared" si="249"/>
        <v>5.95329677737701</v>
      </c>
      <c r="BB241">
        <f t="shared" si="250"/>
        <v>1.40202206260802</v>
      </c>
      <c r="BC241" s="30" t="str">
        <f t="shared" si="251"/>
        <v>-0,119152685293508+0,0356757980544027i</v>
      </c>
      <c r="BD241" s="32">
        <f t="shared" si="252"/>
        <v>-18.105061777243</v>
      </c>
      <c r="BE241" s="31">
        <f t="shared" si="253"/>
        <v>163.331645009429</v>
      </c>
      <c r="BF241" s="30" t="str">
        <f t="shared" si="254"/>
        <v>0,0951880306301221+0,305923001182151i</v>
      </c>
      <c r="BG241" s="68">
        <f t="shared" si="255"/>
        <v>-9.88642553200397</v>
      </c>
      <c r="BH241" s="31">
        <f t="shared" si="256"/>
        <v>72.7164549487818</v>
      </c>
      <c r="BI241" s="30" t="str">
        <f t="shared" si="209"/>
        <v>0,23887480878163+1,76096823077416i</v>
      </c>
      <c r="BJ241" s="68">
        <f t="shared" si="257"/>
        <v>4.99421791170221</v>
      </c>
      <c r="BK241" s="31">
        <f t="shared" si="210"/>
        <v>82.274996709497</v>
      </c>
      <c r="BL241" s="32">
        <f t="shared" si="258"/>
        <v>-9.88642553200397</v>
      </c>
      <c r="BM241" s="31">
        <f t="shared" si="259"/>
        <v>72.7164549487818</v>
      </c>
      <c r="BO241">
        <f t="shared" si="260"/>
        <v>0</v>
      </c>
      <c r="BP241">
        <f t="shared" si="261"/>
        <v>0</v>
      </c>
    </row>
    <row r="242" spans="14:68">
      <c r="N242" s="7">
        <v>24</v>
      </c>
      <c r="O242" s="18">
        <f t="shared" si="262"/>
        <v>1737.80082874938</v>
      </c>
      <c r="P242" s="86" t="str">
        <f t="shared" si="212"/>
        <v>163,636363636364</v>
      </c>
      <c r="Q242" s="4" t="str">
        <f t="shared" si="213"/>
        <v>1+66,7047032186342i</v>
      </c>
      <c r="R242" s="4">
        <f t="shared" si="224"/>
        <v>66.7121985208558</v>
      </c>
      <c r="S242" s="4">
        <f t="shared" si="225"/>
        <v>1.55580600306417</v>
      </c>
      <c r="T242" s="4" t="str">
        <f t="shared" si="214"/>
        <v>1+0,171208738261161i</v>
      </c>
      <c r="U242" s="4">
        <f t="shared" si="226"/>
        <v>1.01455035954702</v>
      </c>
      <c r="V242" s="4">
        <f t="shared" si="227"/>
        <v>0.169564708952315</v>
      </c>
      <c r="W242" t="str">
        <f t="shared" si="215"/>
        <v>1-0,163783869510039i</v>
      </c>
      <c r="X242" s="4">
        <f t="shared" si="228"/>
        <v>1.0133238159205</v>
      </c>
      <c r="Y242" s="4">
        <f t="shared" si="229"/>
        <v>-0.162342489218603</v>
      </c>
      <c r="Z242" t="str">
        <f t="shared" si="216"/>
        <v>0,999975347332895+0,0339266586842224i</v>
      </c>
      <c r="AA242" s="4">
        <f t="shared" si="230"/>
        <v>1.00055070508347</v>
      </c>
      <c r="AB242" s="4">
        <f t="shared" si="231"/>
        <v>0.0339144863744212</v>
      </c>
      <c r="AC242" s="67" t="str">
        <f t="shared" si="232"/>
        <v>-0,029492078869068-2,52015694428677i</v>
      </c>
      <c r="AD242" s="68">
        <f t="shared" si="233"/>
        <v>8.02914646822057</v>
      </c>
      <c r="AE242" s="31">
        <f t="shared" si="234"/>
        <v>-90.670471940845</v>
      </c>
      <c r="AF242" s="32" t="str">
        <f t="shared" si="235"/>
        <v>748,315388573934</v>
      </c>
      <c r="AG242" s="32" t="str">
        <f t="shared" si="217"/>
        <v>1+54,3519804003685i</v>
      </c>
      <c r="AH242" s="32">
        <f t="shared" si="236"/>
        <v>54.3611789188024</v>
      </c>
      <c r="AI242" s="32">
        <f t="shared" si="237"/>
        <v>1.55239980877542</v>
      </c>
      <c r="AJ242" s="32" t="str">
        <f t="shared" si="218"/>
        <v>1+0,171208738261161i</v>
      </c>
      <c r="AK242" s="32">
        <f t="shared" si="238"/>
        <v>1.01455035954702</v>
      </c>
      <c r="AL242" s="32">
        <f t="shared" si="239"/>
        <v>0.169564708952315</v>
      </c>
      <c r="AM242" s="32" t="str">
        <f t="shared" si="219"/>
        <v>1-0,029182053580317i</v>
      </c>
      <c r="AN242" s="32">
        <f t="shared" si="240"/>
        <v>1.00042570551299</v>
      </c>
      <c r="AO242" s="32">
        <f t="shared" si="241"/>
        <v>-0.0291737740734631</v>
      </c>
      <c r="AP242" s="30" t="str">
        <f t="shared" si="242"/>
        <v>2,20924507866073-13,7960914801657i</v>
      </c>
      <c r="AQ242" s="32">
        <f t="shared" si="243"/>
        <v>22.9050852197625</v>
      </c>
      <c r="AR242" s="31">
        <f t="shared" si="244"/>
        <v>-80.9021491092935</v>
      </c>
      <c r="AS242" t="str">
        <f t="shared" si="220"/>
        <v>-0,0000504684572142411</v>
      </c>
      <c r="AT242" t="str">
        <f t="shared" si="221"/>
        <v>0,00245348236526039i</v>
      </c>
      <c r="AU242">
        <f t="shared" si="245"/>
        <v>0.00245348236526039</v>
      </c>
      <c r="AV242">
        <f t="shared" si="246"/>
        <v>1.5707963267949</v>
      </c>
      <c r="AW242" t="str">
        <f t="shared" si="222"/>
        <v>1+0,125613796968833i</v>
      </c>
      <c r="AX242">
        <f t="shared" si="247"/>
        <v>1.00785853471057</v>
      </c>
      <c r="AY242">
        <f t="shared" si="248"/>
        <v>0.124959302759731</v>
      </c>
      <c r="AZ242" t="str">
        <f t="shared" si="223"/>
        <v>1+6,00540854870142i</v>
      </c>
      <c r="BA242">
        <f t="shared" si="249"/>
        <v>6.08809755480446</v>
      </c>
      <c r="BB242">
        <f t="shared" si="250"/>
        <v>1.40579369827723</v>
      </c>
      <c r="BC242" s="30" t="str">
        <f t="shared" si="251"/>
        <v>-0,1190693817596+0,0355268895943711i</v>
      </c>
      <c r="BD242" s="32">
        <f t="shared" si="252"/>
        <v>-18.1136177373713</v>
      </c>
      <c r="BE242" s="31">
        <f t="shared" si="253"/>
        <v>163.386405118343</v>
      </c>
      <c r="BF242" s="30" t="str">
        <f t="shared" si="254"/>
        <v>0,093044941117909+0,299025767463499i</v>
      </c>
      <c r="BG242" s="68">
        <f t="shared" si="255"/>
        <v>-10.0844712691507</v>
      </c>
      <c r="BH242" s="31">
        <f t="shared" si="256"/>
        <v>72.7159331774977</v>
      </c>
      <c r="BI242" s="30" t="str">
        <f t="shared" ref="BI242:BI305" si="263">IMPRODUCT(AP242,BC242)</f>
        <v>0,227078773178119+1,7211796892387i</v>
      </c>
      <c r="BJ242" s="68">
        <f t="shared" si="257"/>
        <v>4.79146748239113</v>
      </c>
      <c r="BK242" s="31">
        <f t="shared" ref="BK242:BK305" si="264">(180/PI())*IMARGUMENT(BI242)</f>
        <v>82.4842560090492</v>
      </c>
      <c r="BL242" s="32">
        <f t="shared" si="258"/>
        <v>-10.0844712691507</v>
      </c>
      <c r="BM242" s="31">
        <f t="shared" si="259"/>
        <v>72.7159331774977</v>
      </c>
      <c r="BO242">
        <f t="shared" si="260"/>
        <v>0</v>
      </c>
      <c r="BP242">
        <f t="shared" si="261"/>
        <v>0</v>
      </c>
    </row>
    <row r="243" spans="14:68">
      <c r="N243" s="7">
        <v>25</v>
      </c>
      <c r="O243" s="18">
        <f t="shared" si="262"/>
        <v>1778.27941003892</v>
      </c>
      <c r="P243" s="86" t="str">
        <f t="shared" si="212"/>
        <v>163,636363636364</v>
      </c>
      <c r="Q243" s="4" t="str">
        <f t="shared" si="213"/>
        <v>1+68,2584553557954i</v>
      </c>
      <c r="R243" s="4">
        <f t="shared" si="224"/>
        <v>68.2657800626281</v>
      </c>
      <c r="S243" s="4">
        <f t="shared" si="225"/>
        <v>1.55614717510788</v>
      </c>
      <c r="T243" s="4" t="str">
        <f t="shared" si="214"/>
        <v>1+0,175196702079875i</v>
      </c>
      <c r="U243" s="4">
        <f t="shared" si="226"/>
        <v>1.01523095127151</v>
      </c>
      <c r="V243" s="4">
        <f t="shared" si="227"/>
        <v>0.173436517157383</v>
      </c>
      <c r="W243" t="str">
        <f t="shared" si="215"/>
        <v>1-0,167598885918248i</v>
      </c>
      <c r="X243" s="4">
        <f t="shared" si="228"/>
        <v>1.0139474279079</v>
      </c>
      <c r="Y243" s="4">
        <f t="shared" si="229"/>
        <v>-0.16605556420794</v>
      </c>
      <c r="Z243" t="str">
        <f t="shared" si="216"/>
        <v>0,999974185488488+0,0347169120830656i</v>
      </c>
      <c r="AA243" s="4">
        <f t="shared" si="230"/>
        <v>1.00057665155047</v>
      </c>
      <c r="AB243" s="4">
        <f t="shared" si="231"/>
        <v>0.0347038696238589</v>
      </c>
      <c r="AC243" s="67" t="str">
        <f t="shared" si="232"/>
        <v>-0,0312536474587465-2,46587924792741i</v>
      </c>
      <c r="AD243" s="68">
        <f t="shared" si="233"/>
        <v>7.8401337159873</v>
      </c>
      <c r="AE243" s="31">
        <f t="shared" si="234"/>
        <v>-90.7261532443189</v>
      </c>
      <c r="AF243" s="32" t="str">
        <f t="shared" si="235"/>
        <v>748,315388573934</v>
      </c>
      <c r="AG243" s="32" t="str">
        <f t="shared" si="217"/>
        <v>1+55,6180006602777i</v>
      </c>
      <c r="AH243" s="32">
        <f t="shared" si="236"/>
        <v>55.6269898290987</v>
      </c>
      <c r="AI243" s="32">
        <f t="shared" si="237"/>
        <v>1.55281847337687</v>
      </c>
      <c r="AJ243" s="32" t="str">
        <f t="shared" si="218"/>
        <v>1+0,175196702079875i</v>
      </c>
      <c r="AK243" s="32">
        <f t="shared" si="238"/>
        <v>1.01523095127151</v>
      </c>
      <c r="AL243" s="32">
        <f t="shared" si="239"/>
        <v>0.173436517157383</v>
      </c>
      <c r="AM243" s="32" t="str">
        <f t="shared" si="219"/>
        <v>1-0,0298617909290997i</v>
      </c>
      <c r="AN243" s="32">
        <f t="shared" si="240"/>
        <v>1.00044576392601</v>
      </c>
      <c r="AO243" s="32">
        <f t="shared" si="241"/>
        <v>-0.0298529194911457</v>
      </c>
      <c r="AP243" s="30" t="str">
        <f t="shared" si="242"/>
        <v>2,19788154095449-13,4854264848682i</v>
      </c>
      <c r="AQ243" s="32">
        <f t="shared" si="243"/>
        <v>22.7111503231696</v>
      </c>
      <c r="AR243" s="31">
        <f t="shared" si="244"/>
        <v>-80.7432107208625</v>
      </c>
      <c r="AS243" t="str">
        <f t="shared" si="220"/>
        <v>-0,0000504684572142411</v>
      </c>
      <c r="AT243" t="str">
        <f t="shared" si="221"/>
        <v>0,00251063131105535i</v>
      </c>
      <c r="AU243">
        <f t="shared" si="245"/>
        <v>0.00251063131105535</v>
      </c>
      <c r="AV243">
        <f t="shared" si="246"/>
        <v>1.5707963267949</v>
      </c>
      <c r="AW243" t="str">
        <f t="shared" si="222"/>
        <v>1+0,128539718171983i</v>
      </c>
      <c r="AX243">
        <f t="shared" si="247"/>
        <v>1.00822738464482</v>
      </c>
      <c r="AY243">
        <f t="shared" si="248"/>
        <v>0.127838723703459</v>
      </c>
      <c r="AZ243" t="str">
        <f t="shared" si="223"/>
        <v>1+6,14529248366907i</v>
      </c>
      <c r="BA243">
        <f t="shared" si="249"/>
        <v>6.22612397160863</v>
      </c>
      <c r="BB243">
        <f t="shared" si="250"/>
        <v>1.4094840644404</v>
      </c>
      <c r="BC243" s="30" t="str">
        <f t="shared" si="251"/>
        <v>-0,118982277003893+0,0353958474225155i</v>
      </c>
      <c r="BD243" s="32">
        <f t="shared" si="252"/>
        <v>-18.1220727447517</v>
      </c>
      <c r="BE243" s="31">
        <f t="shared" si="253"/>
        <v>163.432868856833</v>
      </c>
      <c r="BF243" s="30" t="str">
        <f t="shared" si="254"/>
        <v>0,0910005157613045+0,292289678398204i</v>
      </c>
      <c r="BG243" s="68">
        <f t="shared" si="255"/>
        <v>-10.2819390287644</v>
      </c>
      <c r="BH243" s="31">
        <f t="shared" si="256"/>
        <v>72.706715612514</v>
      </c>
      <c r="BI243" s="30" t="str">
        <f t="shared" si="263"/>
        <v>0,215819147958354+1,68232262921461i</v>
      </c>
      <c r="BJ243" s="68">
        <f t="shared" si="257"/>
        <v>4.58907757841781</v>
      </c>
      <c r="BK243" s="31">
        <f t="shared" si="264"/>
        <v>82.6896581359704</v>
      </c>
      <c r="BL243" s="32">
        <f t="shared" si="258"/>
        <v>-10.2819390287644</v>
      </c>
      <c r="BM243" s="31">
        <f t="shared" si="259"/>
        <v>72.706715612514</v>
      </c>
      <c r="BO243">
        <f t="shared" si="260"/>
        <v>0</v>
      </c>
      <c r="BP243">
        <f t="shared" si="261"/>
        <v>0</v>
      </c>
    </row>
    <row r="244" spans="14:68">
      <c r="N244" s="7">
        <v>26</v>
      </c>
      <c r="O244" s="18">
        <f t="shared" si="262"/>
        <v>1819.70085860998</v>
      </c>
      <c r="P244" s="86" t="str">
        <f t="shared" si="212"/>
        <v>163,636363636364</v>
      </c>
      <c r="Q244" s="4" t="str">
        <f t="shared" si="213"/>
        <v>1+69,8483990294943i</v>
      </c>
      <c r="R244" s="4">
        <f t="shared" si="224"/>
        <v>69.8555570229274</v>
      </c>
      <c r="S244" s="4">
        <f t="shared" si="225"/>
        <v>1.55648058442332</v>
      </c>
      <c r="T244" s="4" t="str">
        <f t="shared" si="214"/>
        <v>1+0,179277557509035i</v>
      </c>
      <c r="U244" s="4">
        <f t="shared" si="226"/>
        <v>1.01594312962213</v>
      </c>
      <c r="V244" s="4">
        <f t="shared" si="227"/>
        <v>0.177393080247567</v>
      </c>
      <c r="W244" t="str">
        <f t="shared" si="215"/>
        <v>1-0,171502765474205i</v>
      </c>
      <c r="X244" s="4">
        <f t="shared" si="228"/>
        <v>1.01460001900517</v>
      </c>
      <c r="Y244" s="4">
        <f t="shared" si="229"/>
        <v>-0.169850348974493</v>
      </c>
      <c r="Z244" t="str">
        <f t="shared" si="216"/>
        <v>0,999972968888042+0,0355255728482281i</v>
      </c>
      <c r="AA244" s="4">
        <f t="shared" si="230"/>
        <v>1.00060382011711</v>
      </c>
      <c r="AB244" s="4">
        <f t="shared" si="231"/>
        <v>0.0355115980566077</v>
      </c>
      <c r="AC244" s="67" t="str">
        <f t="shared" si="232"/>
        <v>-0,0329457593708206-2,41290647003526i</v>
      </c>
      <c r="AD244" s="68">
        <f t="shared" si="233"/>
        <v>7.65161934303284</v>
      </c>
      <c r="AE244" s="31">
        <f t="shared" si="234"/>
        <v>-90.7822664059721</v>
      </c>
      <c r="AF244" s="32" t="str">
        <f t="shared" si="235"/>
        <v>748,315388573934</v>
      </c>
      <c r="AG244" s="32" t="str">
        <f t="shared" si="217"/>
        <v>1+56,9135103203287i</v>
      </c>
      <c r="AH244" s="32">
        <f t="shared" si="236"/>
        <v>56.9222949026316</v>
      </c>
      <c r="AI244" s="32">
        <f t="shared" si="237"/>
        <v>1.55322761409909</v>
      </c>
      <c r="AJ244" s="32" t="str">
        <f t="shared" si="218"/>
        <v>1+0,179277557509035i</v>
      </c>
      <c r="AK244" s="32">
        <f t="shared" si="238"/>
        <v>1.01594312962213</v>
      </c>
      <c r="AL244" s="32">
        <f t="shared" si="239"/>
        <v>0.177393080247567</v>
      </c>
      <c r="AM244" s="32" t="str">
        <f t="shared" si="219"/>
        <v>1-0,0305573613947008i</v>
      </c>
      <c r="AN244" s="32">
        <f t="shared" si="240"/>
        <v>1.00046676723188</v>
      </c>
      <c r="AO244" s="32">
        <f t="shared" si="241"/>
        <v>-0.0305478557171799</v>
      </c>
      <c r="AP244" s="30" t="str">
        <f t="shared" si="242"/>
        <v>2,18702912356355-13,1818932507036i</v>
      </c>
      <c r="AQ244" s="32">
        <f t="shared" si="243"/>
        <v>22.5174868035716</v>
      </c>
      <c r="AR244" s="31">
        <f t="shared" si="244"/>
        <v>-80.5797753038104</v>
      </c>
      <c r="AS244" t="str">
        <f t="shared" si="220"/>
        <v>-0,0000504684572142411</v>
      </c>
      <c r="AT244" t="str">
        <f t="shared" si="221"/>
        <v>0,00256911142680358i</v>
      </c>
      <c r="AU244">
        <f t="shared" si="245"/>
        <v>0.00256911142680358</v>
      </c>
      <c r="AV244">
        <f t="shared" si="246"/>
        <v>1.5707963267949</v>
      </c>
      <c r="AW244" t="str">
        <f t="shared" si="222"/>
        <v>1+0,131533792835134i</v>
      </c>
      <c r="AX244">
        <f t="shared" si="247"/>
        <v>1.00861347336708</v>
      </c>
      <c r="AY244">
        <f t="shared" si="248"/>
        <v>0.13078300973857</v>
      </c>
      <c r="AZ244" t="str">
        <f t="shared" si="223"/>
        <v>1+6,28843473405416i</v>
      </c>
      <c r="BA244">
        <f t="shared" si="249"/>
        <v>6.36744936410638</v>
      </c>
      <c r="BB244">
        <f t="shared" si="250"/>
        <v>1.41309471550798</v>
      </c>
      <c r="BC244" s="30" t="str">
        <f t="shared" si="251"/>
        <v>-0,118891203616064+0,0352825349284537i</v>
      </c>
      <c r="BD244" s="32">
        <f t="shared" si="252"/>
        <v>-18.1304435442932</v>
      </c>
      <c r="BE244" s="31">
        <f t="shared" si="253"/>
        <v>163.471048760809</v>
      </c>
      <c r="BF244" s="30" t="str">
        <f t="shared" si="254"/>
        <v>0,0890504177937531+0,285710944529735i</v>
      </c>
      <c r="BG244" s="68">
        <f t="shared" si="255"/>
        <v>-10.4788242012603</v>
      </c>
      <c r="BH244" s="31">
        <f t="shared" si="256"/>
        <v>72.6887823548367</v>
      </c>
      <c r="BI244" s="30" t="str">
        <f t="shared" si="263"/>
        <v>0,205072084197242+1,6443750859563i</v>
      </c>
      <c r="BJ244" s="68">
        <f t="shared" si="257"/>
        <v>4.38704325927847</v>
      </c>
      <c r="BK244" s="31">
        <f t="shared" si="264"/>
        <v>82.8912734569984</v>
      </c>
      <c r="BL244" s="32">
        <f t="shared" si="258"/>
        <v>-10.4788242012603</v>
      </c>
      <c r="BM244" s="31">
        <f t="shared" si="259"/>
        <v>72.6887823548367</v>
      </c>
      <c r="BO244">
        <f t="shared" si="260"/>
        <v>0</v>
      </c>
      <c r="BP244">
        <f t="shared" si="261"/>
        <v>0</v>
      </c>
    </row>
    <row r="245" spans="14:68">
      <c r="N245" s="7">
        <v>27</v>
      </c>
      <c r="O245" s="18">
        <f t="shared" si="262"/>
        <v>1862.08713666287</v>
      </c>
      <c r="P245" s="86" t="str">
        <f t="shared" si="212"/>
        <v>163,636363636364</v>
      </c>
      <c r="Q245" s="4" t="str">
        <f t="shared" si="213"/>
        <v>1+71,4753772489119i</v>
      </c>
      <c r="R245" s="4">
        <f t="shared" si="224"/>
        <v>71.4823723226522</v>
      </c>
      <c r="S245" s="4">
        <f t="shared" si="225"/>
        <v>1.55680640749184</v>
      </c>
      <c r="T245" s="4" t="str">
        <f t="shared" si="214"/>
        <v>1+0,183453468272207i</v>
      </c>
      <c r="U245" s="4">
        <f t="shared" si="226"/>
        <v>1.01668833721111</v>
      </c>
      <c r="V245" s="4">
        <f t="shared" si="227"/>
        <v>0.181436000298442</v>
      </c>
      <c r="W245" t="str">
        <f t="shared" si="215"/>
        <v>1-0,175497578066525i</v>
      </c>
      <c r="X245" s="4">
        <f t="shared" si="228"/>
        <v>1.01528291618997</v>
      </c>
      <c r="Y245" s="4">
        <f t="shared" si="229"/>
        <v>-0.173728418172636</v>
      </c>
      <c r="Z245" t="str">
        <f t="shared" si="216"/>
        <v>0,999971694950983+0,0363530697423515i</v>
      </c>
      <c r="AA245" s="4">
        <f t="shared" si="230"/>
        <v>1.00063226830981</v>
      </c>
      <c r="AB245" s="4">
        <f t="shared" si="231"/>
        <v>0.0363380959940539</v>
      </c>
      <c r="AC245" s="67" t="str">
        <f t="shared" si="232"/>
        <v>-0,0345719979076953-2,36121064507917i</v>
      </c>
      <c r="AD245" s="68">
        <f t="shared" si="233"/>
        <v>7.46362558028078</v>
      </c>
      <c r="AE245" s="31">
        <f t="shared" si="234"/>
        <v>-90.8388442781475</v>
      </c>
      <c r="AF245" s="32" t="str">
        <f t="shared" si="235"/>
        <v>748,315388573934</v>
      </c>
      <c r="AG245" s="32" t="str">
        <f t="shared" si="217"/>
        <v>1+58,2391962768911i</v>
      </c>
      <c r="AH245" s="32">
        <f t="shared" si="236"/>
        <v>58.2477809275018</v>
      </c>
      <c r="AI245" s="32">
        <f t="shared" si="237"/>
        <v>1.55362744732569</v>
      </c>
      <c r="AJ245" s="32" t="str">
        <f t="shared" si="218"/>
        <v>1+0,183453468272207i</v>
      </c>
      <c r="AK245" s="32">
        <f t="shared" si="238"/>
        <v>1.01668833721111</v>
      </c>
      <c r="AL245" s="32">
        <f t="shared" si="239"/>
        <v>0.181436000298442</v>
      </c>
      <c r="AM245" s="32" t="str">
        <f t="shared" si="219"/>
        <v>1-0,031269133777788i</v>
      </c>
      <c r="AN245" s="32">
        <f t="shared" si="240"/>
        <v>1.00048875992048</v>
      </c>
      <c r="AO245" s="32">
        <f t="shared" si="241"/>
        <v>-0.0312589485295353</v>
      </c>
      <c r="AP245" s="30" t="str">
        <f t="shared" si="242"/>
        <v>2,17666485070343-12,8853320670699i</v>
      </c>
      <c r="AQ245" s="32">
        <f t="shared" si="243"/>
        <v>22.3241069429472</v>
      </c>
      <c r="AR245" s="31">
        <f t="shared" si="244"/>
        <v>-80.4117844213693</v>
      </c>
      <c r="AS245" t="str">
        <f t="shared" si="220"/>
        <v>-0,0000504684572142411</v>
      </c>
      <c r="AT245" t="str">
        <f t="shared" si="221"/>
        <v>0,00262895371943653i</v>
      </c>
      <c r="AU245">
        <f t="shared" si="245"/>
        <v>0.00262895371943653</v>
      </c>
      <c r="AV245">
        <f t="shared" si="246"/>
        <v>1.5707963267949</v>
      </c>
      <c r="AW245" t="str">
        <f t="shared" si="222"/>
        <v>1+0,134597608456302i</v>
      </c>
      <c r="AX245">
        <f t="shared" si="247"/>
        <v>1.00901759955025</v>
      </c>
      <c r="AY245">
        <f t="shared" si="248"/>
        <v>0.133793517668151</v>
      </c>
      <c r="AZ245" t="str">
        <f t="shared" si="223"/>
        <v>1+6,43491119577256i</v>
      </c>
      <c r="BA245">
        <f t="shared" si="249"/>
        <v>6.51214880799564</v>
      </c>
      <c r="BB245">
        <f t="shared" si="250"/>
        <v>1.41662718913249</v>
      </c>
      <c r="BC245" s="30" t="str">
        <f t="shared" si="251"/>
        <v>-0,118795987384787+0,0351868203720188i</v>
      </c>
      <c r="BD245" s="32">
        <f t="shared" si="252"/>
        <v>-18.1387467464041</v>
      </c>
      <c r="BE245" s="31">
        <f t="shared" si="253"/>
        <v>163.500955192179</v>
      </c>
      <c r="BF245" s="30" t="str">
        <f t="shared" si="254"/>
        <v>0,0871905094562088+0,27928587132537i</v>
      </c>
      <c r="BG245" s="68">
        <f t="shared" si="255"/>
        <v>-10.6751211661233</v>
      </c>
      <c r="BH245" s="31">
        <f t="shared" si="256"/>
        <v>72.662110914031</v>
      </c>
      <c r="BI245" s="30" t="str">
        <f t="shared" si="263"/>
        <v>0,194814814732728+1,60731566080022i</v>
      </c>
      <c r="BJ245" s="68">
        <f t="shared" si="257"/>
        <v>4.18536019654308</v>
      </c>
      <c r="BK245" s="31">
        <f t="shared" si="264"/>
        <v>83.0891707708092</v>
      </c>
      <c r="BL245" s="32">
        <f t="shared" si="258"/>
        <v>-10.6751211661233</v>
      </c>
      <c r="BM245" s="31">
        <f t="shared" si="259"/>
        <v>72.662110914031</v>
      </c>
      <c r="BO245">
        <f t="shared" si="260"/>
        <v>0</v>
      </c>
      <c r="BP245">
        <f t="shared" si="261"/>
        <v>0</v>
      </c>
    </row>
    <row r="246" spans="14:68">
      <c r="N246" s="7">
        <v>28</v>
      </c>
      <c r="O246" s="18">
        <f t="shared" si="262"/>
        <v>1905.46071796325</v>
      </c>
      <c r="P246" s="86" t="str">
        <f t="shared" si="212"/>
        <v>163,636363636364</v>
      </c>
      <c r="Q246" s="4" t="str">
        <f t="shared" si="213"/>
        <v>1+73,1402526594347i</v>
      </c>
      <c r="R246" s="4">
        <f t="shared" si="224"/>
        <v>73.1470885209107</v>
      </c>
      <c r="S246" s="4">
        <f t="shared" si="225"/>
        <v>1.55712481679227</v>
      </c>
      <c r="T246" s="4" t="str">
        <f t="shared" si="214"/>
        <v>1+0,187726648492549i</v>
      </c>
      <c r="U246" s="4">
        <f t="shared" si="226"/>
        <v>1.01746808036137</v>
      </c>
      <c r="V246" s="4">
        <f t="shared" si="227"/>
        <v>0.185566892000477</v>
      </c>
      <c r="W246" t="str">
        <f t="shared" si="215"/>
        <v>1-0,179585441797719i</v>
      </c>
      <c r="X246" s="4">
        <f t="shared" si="228"/>
        <v>1.01599750536391</v>
      </c>
      <c r="Y246" s="4">
        <f t="shared" si="229"/>
        <v>-0.177691361181733</v>
      </c>
      <c r="Z246" t="str">
        <f t="shared" si="216"/>
        <v>0,999970360975121+0,0371998415152418i</v>
      </c>
      <c r="AA246" s="4">
        <f t="shared" si="230"/>
        <v>1.00066205635943</v>
      </c>
      <c r="AB246" s="4">
        <f t="shared" si="231"/>
        <v>0.037183797427848</v>
      </c>
      <c r="AC246" s="67" t="str">
        <f t="shared" si="232"/>
        <v>-0,0361358068559124-2,31076447314096i</v>
      </c>
      <c r="AD246" s="68">
        <f t="shared" si="233"/>
        <v>7.27617556587428</v>
      </c>
      <c r="AE246" s="31">
        <f t="shared" si="234"/>
        <v>-90.8959201588242</v>
      </c>
      <c r="AF246" s="32" t="str">
        <f t="shared" si="235"/>
        <v>748,315388573934</v>
      </c>
      <c r="AG246" s="32" t="str">
        <f t="shared" si="217"/>
        <v>1+59,5957614262061i</v>
      </c>
      <c r="AH246" s="32">
        <f t="shared" si="236"/>
        <v>59.604150694136</v>
      </c>
      <c r="AI246" s="32">
        <f t="shared" si="237"/>
        <v>1.55401818454187</v>
      </c>
      <c r="AJ246" s="32" t="str">
        <f t="shared" si="218"/>
        <v>1+0,187726648492549i</v>
      </c>
      <c r="AK246" s="32">
        <f t="shared" si="238"/>
        <v>1.01746808036137</v>
      </c>
      <c r="AL246" s="32">
        <f t="shared" si="239"/>
        <v>0.185566892000477</v>
      </c>
      <c r="AM246" s="32" t="str">
        <f t="shared" si="219"/>
        <v>1-0,0319974854694999i</v>
      </c>
      <c r="AN246" s="32">
        <f t="shared" si="240"/>
        <v>1.00051178857441</v>
      </c>
      <c r="AO246" s="32">
        <f t="shared" si="241"/>
        <v>-0.0319865720808583</v>
      </c>
      <c r="AP246" s="30" t="str">
        <f t="shared" si="242"/>
        <v>2,16676677817134-12,5955868382412i</v>
      </c>
      <c r="AQ246" s="32">
        <f t="shared" si="243"/>
        <v>22.1310235180401</v>
      </c>
      <c r="AR246" s="31">
        <f t="shared" si="244"/>
        <v>-80.2391791131682</v>
      </c>
      <c r="AS246" t="str">
        <f t="shared" si="220"/>
        <v>-0,0000504684572142411</v>
      </c>
      <c r="AT246" t="str">
        <f t="shared" si="221"/>
        <v>0,00269018991812982i</v>
      </c>
      <c r="AU246">
        <f t="shared" si="245"/>
        <v>0.00269018991812982</v>
      </c>
      <c r="AV246">
        <f t="shared" si="246"/>
        <v>1.5707963267949</v>
      </c>
      <c r="AW246" t="str">
        <f t="shared" si="222"/>
        <v>1+0,137732789511083i</v>
      </c>
      <c r="AX246">
        <f t="shared" si="247"/>
        <v>1.00944059820601</v>
      </c>
      <c r="AY246">
        <f t="shared" si="248"/>
        <v>0.136871625310181</v>
      </c>
      <c r="AZ246" t="str">
        <f t="shared" si="223"/>
        <v>1+6,58479953258302i</v>
      </c>
      <c r="BA246">
        <f t="shared" si="249"/>
        <v>6.66029915876949</v>
      </c>
      <c r="BB246">
        <f t="shared" si="250"/>
        <v>1.42008300546151</v>
      </c>
      <c r="BC246" s="30" t="str">
        <f t="shared" si="251"/>
        <v>-0,118696447076022+0,0351085765211423i</v>
      </c>
      <c r="BD246" s="32">
        <f t="shared" si="252"/>
        <v>-18.146998853225</v>
      </c>
      <c r="BE246" s="31">
        <f t="shared" si="253"/>
        <v>163.522596305828</v>
      </c>
      <c r="BF246" s="30" t="str">
        <f t="shared" si="254"/>
        <v>0,0854168432136286+0,273010856251174i</v>
      </c>
      <c r="BG246" s="68">
        <f t="shared" si="255"/>
        <v>-10.8708232873507</v>
      </c>
      <c r="BH246" s="31">
        <f t="shared" si="256"/>
        <v>72.6266761470043</v>
      </c>
      <c r="BI246" s="30" t="str">
        <f t="shared" si="263"/>
        <v>0,185025606127787+1,57112350377163i</v>
      </c>
      <c r="BJ246" s="68">
        <f t="shared" si="257"/>
        <v>3.98402466481509</v>
      </c>
      <c r="BK246" s="31">
        <f t="shared" si="264"/>
        <v>83.2834171926603</v>
      </c>
      <c r="BL246" s="32">
        <f t="shared" si="258"/>
        <v>-10.8708232873507</v>
      </c>
      <c r="BM246" s="31">
        <f t="shared" si="259"/>
        <v>72.6266761470043</v>
      </c>
      <c r="BO246">
        <f t="shared" si="260"/>
        <v>0</v>
      </c>
      <c r="BP246">
        <f t="shared" si="261"/>
        <v>0</v>
      </c>
    </row>
    <row r="247" spans="14:68">
      <c r="N247" s="7">
        <v>29</v>
      </c>
      <c r="O247" s="18">
        <f t="shared" si="262"/>
        <v>1949.84459975805</v>
      </c>
      <c r="P247" s="86" t="str">
        <f t="shared" si="212"/>
        <v>163,636363636364</v>
      </c>
      <c r="Q247" s="4" t="str">
        <f t="shared" si="213"/>
        <v>1+74,8439080000429i</v>
      </c>
      <c r="R247" s="4">
        <f t="shared" si="224"/>
        <v>74.8505882723635</v>
      </c>
      <c r="S247" s="4">
        <f t="shared" si="225"/>
        <v>1.55743598089103</v>
      </c>
      <c r="T247" s="4" t="str">
        <f t="shared" si="214"/>
        <v>1+0,192099363866777i</v>
      </c>
      <c r="U247" s="4">
        <f t="shared" si="226"/>
        <v>1.01828393171945</v>
      </c>
      <c r="V247" s="4">
        <f t="shared" si="227"/>
        <v>0.189787381406228</v>
      </c>
      <c r="W247" t="str">
        <f t="shared" si="215"/>
        <v>1-0,183768524107248i</v>
      </c>
      <c r="X247" s="4">
        <f t="shared" si="228"/>
        <v>1.01674523379879</v>
      </c>
      <c r="Y247" s="4">
        <f t="shared" si="229"/>
        <v>-0.181740781058171</v>
      </c>
      <c r="Z247" t="str">
        <f t="shared" si="216"/>
        <v>0,999968964130913+0,0380663371365014i</v>
      </c>
      <c r="AA247" s="4">
        <f t="shared" si="230"/>
        <v>1.00069324732809</v>
      </c>
      <c r="AB247" s="4">
        <f t="shared" si="231"/>
        <v>0.038049146229961</v>
      </c>
      <c r="AC247" s="67" t="str">
        <f t="shared" si="232"/>
        <v>-0,0376404977427693-2,2615413059654i</v>
      </c>
      <c r="AD247" s="68">
        <f t="shared" si="233"/>
        <v>7.08929337646081</v>
      </c>
      <c r="AE247" s="31">
        <f t="shared" si="234"/>
        <v>-90.9535278205543</v>
      </c>
      <c r="AF247" s="32" t="str">
        <f t="shared" si="235"/>
        <v>748,315388573934</v>
      </c>
      <c r="AG247" s="32" t="str">
        <f t="shared" si="217"/>
        <v>1+60,983925037072i</v>
      </c>
      <c r="AH247" s="32">
        <f t="shared" si="236"/>
        <v>60.9921233679171</v>
      </c>
      <c r="AI247" s="32">
        <f t="shared" si="237"/>
        <v>1.55440003244416</v>
      </c>
      <c r="AJ247" s="32" t="str">
        <f t="shared" si="218"/>
        <v>1+0,192099363866777i</v>
      </c>
      <c r="AK247" s="32">
        <f t="shared" si="238"/>
        <v>1.01828393171945</v>
      </c>
      <c r="AL247" s="32">
        <f t="shared" si="239"/>
        <v>0.189787381406228</v>
      </c>
      <c r="AM247" s="32" t="str">
        <f t="shared" si="219"/>
        <v>1-0,0327428026515443i</v>
      </c>
      <c r="AN247" s="32">
        <f t="shared" si="240"/>
        <v>1.00053590196728</v>
      </c>
      <c r="AO247" s="32">
        <f t="shared" si="241"/>
        <v>-0.0327311090831837</v>
      </c>
      <c r="AP247" s="30" t="str">
        <f t="shared" si="242"/>
        <v>2,15731394713706-12,3125050060533i</v>
      </c>
      <c r="AQ247" s="32">
        <f t="shared" si="243"/>
        <v>21.938249817829</v>
      </c>
      <c r="AR247" s="31">
        <f t="shared" si="244"/>
        <v>-80.0618999838808</v>
      </c>
      <c r="AS247" t="str">
        <f t="shared" si="220"/>
        <v>-0,0000504684572142411</v>
      </c>
      <c r="AT247" t="str">
        <f t="shared" si="221"/>
        <v>0,00275285249112658i</v>
      </c>
      <c r="AU247">
        <f t="shared" si="245"/>
        <v>0.00275285249112658</v>
      </c>
      <c r="AV247">
        <f t="shared" si="246"/>
        <v>1.5707963267949</v>
      </c>
      <c r="AW247" t="str">
        <f t="shared" si="222"/>
        <v>1+0,14094099831397i</v>
      </c>
      <c r="AX247">
        <f t="shared" si="247"/>
        <v>1.0098833422756</v>
      </c>
      <c r="AY247">
        <f t="shared" si="248"/>
        <v>0.140018731280777</v>
      </c>
      <c r="AZ247" t="str">
        <f t="shared" si="223"/>
        <v>1+6,73817921726575i</v>
      </c>
      <c r="BA247">
        <f t="shared" si="249"/>
        <v>6.81197909303839</v>
      </c>
      <c r="BB247">
        <f t="shared" si="250"/>
        <v>1.42346366647136</v>
      </c>
      <c r="BC247" s="30" t="str">
        <f t="shared" si="251"/>
        <v>-0,118592394209512+0,0350476802748753i</v>
      </c>
      <c r="BD247" s="32">
        <f t="shared" si="252"/>
        <v>-18.1552162848815</v>
      </c>
      <c r="BE247" s="31">
        <f t="shared" si="253"/>
        <v>163.535978023862</v>
      </c>
      <c r="BF247" s="30" t="str">
        <f t="shared" si="254"/>
        <v>0,083725653366452+0,266882385947868i</v>
      </c>
      <c r="BG247" s="68">
        <f t="shared" si="255"/>
        <v>-11.0659229084207</v>
      </c>
      <c r="BH247" s="31">
        <f t="shared" si="256"/>
        <v>72.5824502033076</v>
      </c>
      <c r="BI247" s="30" t="str">
        <f t="shared" si="263"/>
        <v>0,175683712782401+1,53577829685625i</v>
      </c>
      <c r="BJ247" s="68">
        <f t="shared" si="257"/>
        <v>3.7830335329475</v>
      </c>
      <c r="BK247" s="31">
        <f t="shared" si="264"/>
        <v>83.474078039981</v>
      </c>
      <c r="BL247" s="32">
        <f t="shared" si="258"/>
        <v>-11.0659229084207</v>
      </c>
      <c r="BM247" s="31">
        <f t="shared" si="259"/>
        <v>72.5824502033076</v>
      </c>
      <c r="BO247">
        <f t="shared" si="260"/>
        <v>0</v>
      </c>
      <c r="BP247">
        <f t="shared" si="261"/>
        <v>0</v>
      </c>
    </row>
    <row r="248" spans="14:68">
      <c r="N248" s="7">
        <v>30</v>
      </c>
      <c r="O248" s="18">
        <f t="shared" si="262"/>
        <v>1995.26231496888</v>
      </c>
      <c r="P248" s="86" t="str">
        <f t="shared" si="212"/>
        <v>163,636363636364</v>
      </c>
      <c r="Q248" s="4" t="str">
        <f t="shared" si="213"/>
        <v>1+76,5872465713495i</v>
      </c>
      <c r="R248" s="4">
        <f t="shared" si="224"/>
        <v>76.5937747952187</v>
      </c>
      <c r="S248" s="4">
        <f t="shared" si="225"/>
        <v>1.55774006453029</v>
      </c>
      <c r="T248" s="4" t="str">
        <f t="shared" si="214"/>
        <v>1+0,196573932866464i</v>
      </c>
      <c r="U248" s="4">
        <f t="shared" si="226"/>
        <v>1.01913753295745</v>
      </c>
      <c r="V248" s="4">
        <f t="shared" si="227"/>
        <v>0.194099104562352</v>
      </c>
      <c r="W248" t="str">
        <f t="shared" si="215"/>
        <v>1-0,188049042920724i</v>
      </c>
      <c r="X248" s="4">
        <f t="shared" si="228"/>
        <v>1.01752761266877</v>
      </c>
      <c r="Y248" s="4">
        <f t="shared" si="229"/>
        <v>-0.185878293383718</v>
      </c>
      <c r="Z248" t="str">
        <f t="shared" si="216"/>
        <v>0,999967501455465+0,0389530160335786i</v>
      </c>
      <c r="AA248" s="4">
        <f t="shared" si="230"/>
        <v>1.00072590724194</v>
      </c>
      <c r="AB248" s="4">
        <f t="shared" si="231"/>
        <v>0.0389345963665552</v>
      </c>
      <c r="AC248" s="67" t="str">
        <f t="shared" si="232"/>
        <v>-0,0390892568137771-2,21351513330387i</v>
      </c>
      <c r="AD248" s="68">
        <f t="shared" si="233"/>
        <v>6.90300405892153</v>
      </c>
      <c r="AE248" s="31">
        <f t="shared" si="234"/>
        <v>-91.0117015401616</v>
      </c>
      <c r="AF248" s="32" t="str">
        <f t="shared" si="235"/>
        <v>748,315388573934</v>
      </c>
      <c r="AG248" s="32" t="str">
        <f t="shared" si="217"/>
        <v>1+62,4044231322107i</v>
      </c>
      <c r="AH248" s="32">
        <f t="shared" si="236"/>
        <v>62.4124348704967</v>
      </c>
      <c r="AI248" s="32">
        <f t="shared" si="237"/>
        <v>1.55477319304771</v>
      </c>
      <c r="AJ248" s="32" t="str">
        <f t="shared" si="218"/>
        <v>1+0,196573932866464i</v>
      </c>
      <c r="AK248" s="32">
        <f t="shared" si="238"/>
        <v>1.01913753295745</v>
      </c>
      <c r="AL248" s="32">
        <f t="shared" si="239"/>
        <v>0.194099104562352</v>
      </c>
      <c r="AM248" s="32" t="str">
        <f t="shared" si="219"/>
        <v>1-0,033505480500957i</v>
      </c>
      <c r="AN248" s="32">
        <f t="shared" si="240"/>
        <v>1.00056115116648</v>
      </c>
      <c r="AO248" s="32">
        <f t="shared" si="241"/>
        <v>-0.0334929509962124</v>
      </c>
      <c r="AP248" s="30" t="str">
        <f t="shared" si="242"/>
        <v>2,14828633999423-12,0359374741042i</v>
      </c>
      <c r="AQ248" s="32">
        <f t="shared" si="243"/>
        <v>21.7457996612521</v>
      </c>
      <c r="AR248" s="31">
        <f t="shared" si="244"/>
        <v>-79.8798872985428</v>
      </c>
      <c r="AS248" t="str">
        <f t="shared" si="220"/>
        <v>-0,0000504684572142411</v>
      </c>
      <c r="AT248" t="str">
        <f t="shared" si="221"/>
        <v>0,00281697466295244i</v>
      </c>
      <c r="AU248">
        <f t="shared" si="245"/>
        <v>0.00281697466295244</v>
      </c>
      <c r="AV248">
        <f t="shared" si="246"/>
        <v>1.5707963267949</v>
      </c>
      <c r="AW248" t="str">
        <f t="shared" si="222"/>
        <v>1+0,144223935899739i</v>
      </c>
      <c r="AX248">
        <f t="shared" si="247"/>
        <v>1.01034674428456</v>
      </c>
      <c r="AY248">
        <f t="shared" si="248"/>
        <v>0.143236254727837</v>
      </c>
      <c r="AZ248" t="str">
        <f t="shared" si="223"/>
        <v>1+6,89513157375987i</v>
      </c>
      <c r="BA248">
        <f t="shared" si="249"/>
        <v>6.96726915078356</v>
      </c>
      <c r="BB248">
        <f t="shared" si="250"/>
        <v>1.42677065537631</v>
      </c>
      <c r="BC248" s="30" t="str">
        <f t="shared" si="251"/>
        <v>-0,118483632834104+0,0350040122705271i</v>
      </c>
      <c r="BD248" s="32">
        <f t="shared" si="252"/>
        <v>-18.1634154057547</v>
      </c>
      <c r="BE248" s="31">
        <f t="shared" si="253"/>
        <v>163.541104017011</v>
      </c>
      <c r="BF248" s="30" t="str">
        <f t="shared" si="254"/>
        <v>0,0821133480392476+0,260897033501953i</v>
      </c>
      <c r="BG248" s="68">
        <f t="shared" si="255"/>
        <v>-11.2604113468332</v>
      </c>
      <c r="BH248" s="31">
        <f t="shared" si="256"/>
        <v>72.5294024768495</v>
      </c>
      <c r="BI248" s="30" t="str">
        <f t="shared" si="263"/>
        <v>0,166769333100443+1,50126023790176i</v>
      </c>
      <c r="BJ248" s="68">
        <f t="shared" si="257"/>
        <v>3.58238425549735</v>
      </c>
      <c r="BK248" s="31">
        <f t="shared" si="264"/>
        <v>83.6612167184683</v>
      </c>
      <c r="BL248" s="32">
        <f t="shared" si="258"/>
        <v>-11.2604113468332</v>
      </c>
      <c r="BM248" s="31">
        <f t="shared" si="259"/>
        <v>72.5294024768495</v>
      </c>
      <c r="BO248">
        <f t="shared" si="260"/>
        <v>0</v>
      </c>
      <c r="BP248">
        <f t="shared" si="261"/>
        <v>0</v>
      </c>
    </row>
    <row r="249" spans="14:68">
      <c r="N249" s="7">
        <v>31</v>
      </c>
      <c r="O249" s="18">
        <f t="shared" si="262"/>
        <v>2041.73794466953</v>
      </c>
      <c r="P249" s="86" t="str">
        <f t="shared" si="212"/>
        <v>163,636363636364</v>
      </c>
      <c r="Q249" s="4" t="str">
        <f t="shared" si="213"/>
        <v>1+78,3711927145399i</v>
      </c>
      <c r="R249" s="4">
        <f t="shared" si="224"/>
        <v>78.377572350128</v>
      </c>
      <c r="S249" s="4">
        <f t="shared" si="225"/>
        <v>1.55803722871415</v>
      </c>
      <c r="T249" s="4" t="str">
        <f t="shared" si="214"/>
        <v>1+0,201152727967319i</v>
      </c>
      <c r="U249" s="4">
        <f t="shared" si="226"/>
        <v>1.02003059756494</v>
      </c>
      <c r="V249" s="4">
        <f t="shared" si="227"/>
        <v>0.19850370602032</v>
      </c>
      <c r="W249" t="str">
        <f t="shared" si="215"/>
        <v>1-0,192429267825879i</v>
      </c>
      <c r="X249" s="4">
        <f t="shared" si="228"/>
        <v>1.01834621966991</v>
      </c>
      <c r="Y249" s="4">
        <f t="shared" si="229"/>
        <v>-0.190105525004318</v>
      </c>
      <c r="Z249" t="str">
        <f t="shared" si="216"/>
        <v>0,999965969846247+0,0398603483353607i</v>
      </c>
      <c r="AA249" s="4">
        <f t="shared" si="230"/>
        <v>1.00076010523</v>
      </c>
      <c r="AB249" s="4">
        <f t="shared" si="231"/>
        <v>0.0398406121156819</v>
      </c>
      <c r="AC249" s="67" t="str">
        <f t="shared" si="232"/>
        <v>-0,0404851517453773-2,16666056954684i</v>
      </c>
      <c r="AD249" s="68">
        <f t="shared" si="233"/>
        <v>6.71733366248704</v>
      </c>
      <c r="AE249" s="31">
        <f t="shared" si="234"/>
        <v>-91.0704761292224</v>
      </c>
      <c r="AF249" s="32" t="str">
        <f t="shared" si="235"/>
        <v>748,315388573934</v>
      </c>
      <c r="AG249" s="32" t="str">
        <f t="shared" si="217"/>
        <v>1+63,858008878514i</v>
      </c>
      <c r="AH249" s="32">
        <f t="shared" si="236"/>
        <v>63.8658382699888</v>
      </c>
      <c r="AI249" s="32">
        <f t="shared" si="237"/>
        <v>1.55513786379127</v>
      </c>
      <c r="AJ249" s="32" t="str">
        <f t="shared" si="218"/>
        <v>1+0,201152727967319i</v>
      </c>
      <c r="AK249" s="32">
        <f t="shared" si="238"/>
        <v>1.02003059756494</v>
      </c>
      <c r="AL249" s="32">
        <f t="shared" si="239"/>
        <v>0.19850370602032</v>
      </c>
      <c r="AM249" s="32" t="str">
        <f t="shared" si="219"/>
        <v>1-0,0342859233996286i</v>
      </c>
      <c r="AN249" s="32">
        <f t="shared" si="240"/>
        <v>1.00058758964089</v>
      </c>
      <c r="AO249" s="32">
        <f t="shared" si="241"/>
        <v>-0.0342724982191853</v>
      </c>
      <c r="AP249" s="30" t="str">
        <f t="shared" si="242"/>
        <v>2,13966483818109-11,7657385334502i</v>
      </c>
      <c r="AQ249" s="32">
        <f t="shared" si="243"/>
        <v>21.5536874151538</v>
      </c>
      <c r="AR249" s="31">
        <f t="shared" si="244"/>
        <v>-79.6930810848894</v>
      </c>
      <c r="AS249" t="str">
        <f t="shared" si="220"/>
        <v>-0,0000504684572142411</v>
      </c>
      <c r="AT249" t="str">
        <f t="shared" si="221"/>
        <v>0,00288259043203168i</v>
      </c>
      <c r="AU249">
        <f t="shared" si="245"/>
        <v>0.00288259043203168</v>
      </c>
      <c r="AV249">
        <f t="shared" si="246"/>
        <v>1.5707963267949</v>
      </c>
      <c r="AW249" t="str">
        <f t="shared" si="222"/>
        <v>1+0,147583342925352i</v>
      </c>
      <c r="AX249">
        <f t="shared" si="247"/>
        <v>1.01083175806314</v>
      </c>
      <c r="AY249">
        <f t="shared" si="248"/>
        <v>0.14652563501141</v>
      </c>
      <c r="AZ249" t="str">
        <f t="shared" si="223"/>
        <v>1+7,05573982028222i</v>
      </c>
      <c r="BA249">
        <f t="shared" si="249"/>
        <v>7.12625177856608</v>
      </c>
      <c r="BB249">
        <f t="shared" si="250"/>
        <v>1.43000543610877</v>
      </c>
      <c r="BC249" s="30" t="str">
        <f t="shared" si="251"/>
        <v>-0,118369959302602+0,0349774564738644i</v>
      </c>
      <c r="BD249" s="32">
        <f t="shared" si="252"/>
        <v>-18.1716125507607</v>
      </c>
      <c r="BE249" s="31">
        <f t="shared" si="253"/>
        <v>163.537975693169</v>
      </c>
      <c r="BF249" s="30" t="str">
        <f t="shared" si="254"/>
        <v>0,0805765015294228+0,2550514558068i</v>
      </c>
      <c r="BG249" s="68">
        <f t="shared" si="255"/>
        <v>-11.4542788882737</v>
      </c>
      <c r="BH249" s="31">
        <f t="shared" si="256"/>
        <v>72.4674995639467</v>
      </c>
      <c r="BI249" s="30" t="str">
        <f t="shared" si="263"/>
        <v>0,158263567619919+1,46755002511569i</v>
      </c>
      <c r="BJ249" s="68">
        <f t="shared" si="257"/>
        <v>3.38207486439309</v>
      </c>
      <c r="BK249" s="31">
        <f t="shared" si="264"/>
        <v>83.8448946082797</v>
      </c>
      <c r="BL249" s="32">
        <f t="shared" si="258"/>
        <v>-11.4542788882737</v>
      </c>
      <c r="BM249" s="31">
        <f t="shared" si="259"/>
        <v>72.4674995639467</v>
      </c>
      <c r="BO249">
        <f t="shared" si="260"/>
        <v>0</v>
      </c>
      <c r="BP249">
        <f t="shared" si="261"/>
        <v>0</v>
      </c>
    </row>
    <row r="250" spans="14:68">
      <c r="N250" s="7">
        <v>32</v>
      </c>
      <c r="O250" s="18">
        <f t="shared" si="262"/>
        <v>2089.29613085404</v>
      </c>
      <c r="P250" s="86" t="str">
        <f t="shared" si="212"/>
        <v>163,636363636364</v>
      </c>
      <c r="Q250" s="4" t="str">
        <f t="shared" si="213"/>
        <v>1+80,1966923014736i</v>
      </c>
      <c r="R250" s="4">
        <f t="shared" si="224"/>
        <v>80.2029267302462</v>
      </c>
      <c r="S250" s="4">
        <f t="shared" si="225"/>
        <v>1.55832763079294</v>
      </c>
      <c r="T250" s="4" t="str">
        <f t="shared" si="214"/>
        <v>1+0,205838176907116i</v>
      </c>
      <c r="U250" s="4">
        <f t="shared" si="226"/>
        <v>1.02096491373232</v>
      </c>
      <c r="V250" s="4">
        <f t="shared" si="227"/>
        <v>0.203002837219504</v>
      </c>
      <c r="W250" t="str">
        <f t="shared" si="215"/>
        <v>1-0,19691152127594i</v>
      </c>
      <c r="X250" s="4">
        <f t="shared" si="228"/>
        <v>1.01920270172876</v>
      </c>
      <c r="Y250" s="4">
        <f t="shared" si="229"/>
        <v>-0.194424112653306</v>
      </c>
      <c r="Z250" t="str">
        <f t="shared" si="216"/>
        <v>0,999964366054511+0,0407888151214446i</v>
      </c>
      <c r="AA250" s="4">
        <f t="shared" si="230"/>
        <v>1.00079591366962</v>
      </c>
      <c r="AB250" s="4">
        <f t="shared" si="231"/>
        <v>0.0407676682888176</v>
      </c>
      <c r="AC250" s="67" t="str">
        <f t="shared" si="232"/>
        <v>-0,0418311381067677-2,12095284063986i</v>
      </c>
      <c r="AD250" s="68">
        <f t="shared" si="233"/>
        <v>6.5323092711718</v>
      </c>
      <c r="AE250" s="31">
        <f t="shared" si="234"/>
        <v>-91.1298869653464</v>
      </c>
      <c r="AF250" s="32" t="str">
        <f t="shared" si="235"/>
        <v>748,315388573934</v>
      </c>
      <c r="AG250" s="32" t="str">
        <f t="shared" si="217"/>
        <v>1+65,3454529863859i</v>
      </c>
      <c r="AH250" s="32">
        <f t="shared" si="236"/>
        <v>65.3531041802604</v>
      </c>
      <c r="AI250" s="32">
        <f t="shared" si="237"/>
        <v>1.55549423763991</v>
      </c>
      <c r="AJ250" s="32" t="str">
        <f t="shared" si="218"/>
        <v>1+0,205838176907116i</v>
      </c>
      <c r="AK250" s="32">
        <f t="shared" si="238"/>
        <v>1.02096491373232</v>
      </c>
      <c r="AL250" s="32">
        <f t="shared" si="239"/>
        <v>0.203002837219504</v>
      </c>
      <c r="AM250" s="32" t="str">
        <f t="shared" si="219"/>
        <v>1-0,0350845451487149i</v>
      </c>
      <c r="AN250" s="32">
        <f t="shared" si="240"/>
        <v>1.00061527337348</v>
      </c>
      <c r="AO250" s="32">
        <f t="shared" si="241"/>
        <v>-0.0350701602863848</v>
      </c>
      <c r="AP250" s="30" t="str">
        <f t="shared" si="242"/>
        <v>2,13143118188342-11,5017657897817i</v>
      </c>
      <c r="AQ250" s="32">
        <f t="shared" si="243"/>
        <v>21.3619280124217</v>
      </c>
      <c r="AR250" s="31">
        <f t="shared" si="244"/>
        <v>-79.5014212430846</v>
      </c>
      <c r="AS250" t="str">
        <f t="shared" si="220"/>
        <v>-0,0000504684572142411</v>
      </c>
      <c r="AT250" t="str">
        <f t="shared" si="221"/>
        <v>0,00294973458871357i</v>
      </c>
      <c r="AU250">
        <f t="shared" si="245"/>
        <v>0.00294973458871357</v>
      </c>
      <c r="AV250">
        <f t="shared" si="246"/>
        <v>1.5707963267949</v>
      </c>
      <c r="AW250" t="str">
        <f t="shared" si="222"/>
        <v>1+0,151021000592881i</v>
      </c>
      <c r="AX250">
        <f t="shared" si="247"/>
        <v>1.01133938053458</v>
      </c>
      <c r="AY250">
        <f t="shared" si="248"/>
        <v>0.149888331326946</v>
      </c>
      <c r="AZ250" t="str">
        <f t="shared" si="223"/>
        <v>1+7,22008911345111i</v>
      </c>
      <c r="BA250">
        <f t="shared" si="249"/>
        <v>7.28901137371696</v>
      </c>
      <c r="BB250">
        <f t="shared" si="250"/>
        <v>1.43316945286597</v>
      </c>
      <c r="BC250" s="30" t="str">
        <f t="shared" si="251"/>
        <v>-0,118251162046967+0,0349678997513127i</v>
      </c>
      <c r="BD250" s="32">
        <f t="shared" si="252"/>
        <v>-18.1798240516342</v>
      </c>
      <c r="BE250" s="31">
        <f t="shared" si="253"/>
        <v>163.526592193001</v>
      </c>
      <c r="BF250" s="30" t="str">
        <f t="shared" si="254"/>
        <v>0,079111846999629+0,249342391008678i</v>
      </c>
      <c r="BG250" s="68">
        <f t="shared" si="255"/>
        <v>-11.6475147804624</v>
      </c>
      <c r="BH250" s="31">
        <f t="shared" si="256"/>
        <v>72.3967052276543</v>
      </c>
      <c r="BI250" s="30" t="str">
        <f t="shared" si="263"/>
        <v>0,15014837901931+1,43462884212866i</v>
      </c>
      <c r="BJ250" s="68">
        <f t="shared" si="257"/>
        <v>3.18210396078746</v>
      </c>
      <c r="BK250" s="31">
        <f t="shared" si="264"/>
        <v>84.0251709499162</v>
      </c>
      <c r="BL250" s="32">
        <f t="shared" si="258"/>
        <v>-11.6475147804624</v>
      </c>
      <c r="BM250" s="31">
        <f t="shared" si="259"/>
        <v>72.3967052276543</v>
      </c>
      <c r="BO250">
        <f t="shared" si="260"/>
        <v>0</v>
      </c>
      <c r="BP250">
        <f t="shared" si="261"/>
        <v>0</v>
      </c>
    </row>
    <row r="251" spans="14:68">
      <c r="N251" s="7">
        <v>33</v>
      </c>
      <c r="O251" s="18">
        <f t="shared" si="262"/>
        <v>2137.96208950223</v>
      </c>
      <c r="P251" s="86" t="str">
        <f t="shared" si="212"/>
        <v>163,636363636364</v>
      </c>
      <c r="Q251" s="4" t="str">
        <f t="shared" si="213"/>
        <v>1+82,0647132361937i</v>
      </c>
      <c r="R251" s="4">
        <f t="shared" si="224"/>
        <v>82.0708057626992</v>
      </c>
      <c r="S251" s="4">
        <f t="shared" si="225"/>
        <v>1.55861142454565</v>
      </c>
      <c r="T251" s="4" t="str">
        <f t="shared" si="214"/>
        <v>1+0,210632763972897i</v>
      </c>
      <c r="U251" s="4">
        <f t="shared" si="226"/>
        <v>1.02194234732634</v>
      </c>
      <c r="V251" s="4">
        <f t="shared" si="227"/>
        <v>0.207598154736201</v>
      </c>
      <c r="W251" t="str">
        <f t="shared" si="215"/>
        <v>1-0,201498179821011i</v>
      </c>
      <c r="X251" s="4">
        <f t="shared" si="228"/>
        <v>1.02009877780104</v>
      </c>
      <c r="Y251" s="4">
        <f t="shared" si="229"/>
        <v>-0.198835701452811</v>
      </c>
      <c r="Z251" t="str">
        <f t="shared" si="216"/>
        <v>0,999962686678399+0,0417389086772094i</v>
      </c>
      <c r="AA251" s="4">
        <f t="shared" si="230"/>
        <v>1.00083340833859</v>
      </c>
      <c r="AB251" s="4">
        <f t="shared" si="231"/>
        <v>0.0417162504562345</v>
      </c>
      <c r="AC251" s="67" t="str">
        <f t="shared" si="232"/>
        <v>-0,0431300655841634-2,07636777127826i</v>
      </c>
      <c r="AD251" s="68">
        <f t="shared" si="233"/>
        <v>6.34795903645287</v>
      </c>
      <c r="AE251" s="31">
        <f t="shared" si="234"/>
        <v>-91.1899700242726</v>
      </c>
      <c r="AF251" s="32" t="str">
        <f t="shared" si="235"/>
        <v>748,315388573934</v>
      </c>
      <c r="AG251" s="32" t="str">
        <f t="shared" si="217"/>
        <v>1+66,86754411838i</v>
      </c>
      <c r="AH251" s="32">
        <f t="shared" si="236"/>
        <v>66.8750211695181</v>
      </c>
      <c r="AI251" s="32">
        <f t="shared" si="237"/>
        <v>1.55584250318547</v>
      </c>
      <c r="AJ251" s="32" t="str">
        <f t="shared" si="218"/>
        <v>1+0,210632763972897i</v>
      </c>
      <c r="AK251" s="32">
        <f t="shared" si="238"/>
        <v>1.02194234732634</v>
      </c>
      <c r="AL251" s="32">
        <f t="shared" si="239"/>
        <v>0.207598154736201</v>
      </c>
      <c r="AM251" s="32" t="str">
        <f t="shared" si="219"/>
        <v>1-0,0359017691880376i</v>
      </c>
      <c r="AN251" s="32">
        <f t="shared" si="240"/>
        <v>1.00064426097931</v>
      </c>
      <c r="AO251" s="32">
        <f t="shared" si="241"/>
        <v>-0.0358863560662826</v>
      </c>
      <c r="AP251" s="30" t="str">
        <f t="shared" si="242"/>
        <v>2,12356793153666-11,2438800920626i</v>
      </c>
      <c r="AQ251" s="32">
        <f t="shared" si="243"/>
        <v>21.1705369702746</v>
      </c>
      <c r="AR251" s="31">
        <f t="shared" si="244"/>
        <v>-79.3048476632103</v>
      </c>
      <c r="AS251" t="str">
        <f t="shared" si="220"/>
        <v>-0,0000504684572142411</v>
      </c>
      <c r="AT251" t="str">
        <f t="shared" si="221"/>
        <v>0,00301844273371874i</v>
      </c>
      <c r="AU251">
        <f t="shared" si="245"/>
        <v>0.00301844273371874</v>
      </c>
      <c r="AV251">
        <f t="shared" si="246"/>
        <v>1.5707963267949</v>
      </c>
      <c r="AW251" t="str">
        <f t="shared" si="222"/>
        <v>1+0,154538731593922i</v>
      </c>
      <c r="AX251">
        <f t="shared" si="247"/>
        <v>1.0118706535732</v>
      </c>
      <c r="AY251">
        <f t="shared" si="248"/>
        <v>0.153325822267393</v>
      </c>
      <c r="AZ251" t="str">
        <f t="shared" si="223"/>
        <v>1+7,38826659343706i</v>
      </c>
      <c r="BA251">
        <f t="shared" si="249"/>
        <v>7.45563432953213</v>
      </c>
      <c r="BB251">
        <f t="shared" si="250"/>
        <v>1.43626412971875</v>
      </c>
      <c r="BC251" s="30" t="str">
        <f t="shared" si="251"/>
        <v>-0,118127021354718+0,0349752314230616i</v>
      </c>
      <c r="BD251" s="32">
        <f t="shared" si="252"/>
        <v>-18.1880662632151</v>
      </c>
      <c r="BE251" s="31">
        <f t="shared" si="253"/>
        <v>163.50695039262</v>
      </c>
      <c r="BF251" s="30" t="str">
        <f t="shared" si="254"/>
        <v>0,0777162694981346+0,243766656032937i</v>
      </c>
      <c r="BG251" s="68">
        <f t="shared" si="255"/>
        <v>-11.8401072267622</v>
      </c>
      <c r="BH251" s="31">
        <f t="shared" si="256"/>
        <v>72.3169803683475</v>
      </c>
      <c r="BI251" s="30" t="str">
        <f t="shared" si="263"/>
        <v>0,142406553916219+1,40247834359305i</v>
      </c>
      <c r="BJ251" s="68">
        <f t="shared" si="257"/>
        <v>2.98247070705949</v>
      </c>
      <c r="BK251" s="31">
        <f t="shared" si="264"/>
        <v>84.2021027294098</v>
      </c>
      <c r="BL251" s="32">
        <f t="shared" si="258"/>
        <v>-11.8401072267622</v>
      </c>
      <c r="BM251" s="31">
        <f t="shared" si="259"/>
        <v>72.3169803683475</v>
      </c>
      <c r="BO251">
        <f t="shared" si="260"/>
        <v>0</v>
      </c>
      <c r="BP251">
        <f t="shared" si="261"/>
        <v>0</v>
      </c>
    </row>
    <row r="252" spans="14:68">
      <c r="N252" s="7">
        <v>34</v>
      </c>
      <c r="O252" s="18">
        <f t="shared" si="262"/>
        <v>2187.76162394955</v>
      </c>
      <c r="P252" s="86" t="str">
        <f t="shared" si="212"/>
        <v>163,636363636364</v>
      </c>
      <c r="Q252" s="4" t="str">
        <f t="shared" si="213"/>
        <v>1+83,9762459681267i</v>
      </c>
      <c r="R252" s="4">
        <f t="shared" si="224"/>
        <v>83.9821998217439</v>
      </c>
      <c r="S252" s="4">
        <f t="shared" si="225"/>
        <v>1.55888876026052</v>
      </c>
      <c r="T252" s="4" t="str">
        <f t="shared" si="214"/>
        <v>1+0,215539031318192i</v>
      </c>
      <c r="U252" s="4">
        <f t="shared" si="226"/>
        <v>1.0229648449588</v>
      </c>
      <c r="V252" s="4">
        <f t="shared" si="227"/>
        <v>0.212291318392161</v>
      </c>
      <c r="W252" t="str">
        <f t="shared" si="215"/>
        <v>1-0,206191675368168i</v>
      </c>
      <c r="X252" s="4">
        <f t="shared" si="228"/>
        <v>1.02103624176183</v>
      </c>
      <c r="Y252" s="4">
        <f t="shared" si="229"/>
        <v>-0.203341943287085</v>
      </c>
      <c r="Z252" t="str">
        <f t="shared" si="216"/>
        <v>0,999960928155729+0,0427111327548348i</v>
      </c>
      <c r="AA252" s="4">
        <f t="shared" si="230"/>
        <v>1.00087266857441</v>
      </c>
      <c r="AB252" s="4">
        <f t="shared" si="231"/>
        <v>0.0426868551762095</v>
      </c>
      <c r="AC252" s="67" t="str">
        <f t="shared" si="232"/>
        <v>-0,0443846839803099-2,0328817723749i</v>
      </c>
      <c r="AD252" s="68">
        <f t="shared" si="233"/>
        <v>6.16431221010601</v>
      </c>
      <c r="AE252" s="31">
        <f t="shared" si="234"/>
        <v>-91.2507619127914</v>
      </c>
      <c r="AF252" s="32" t="str">
        <f t="shared" si="235"/>
        <v>748,315388573934</v>
      </c>
      <c r="AG252" s="32" t="str">
        <f t="shared" si="217"/>
        <v>1+68,4250893073625i</v>
      </c>
      <c r="AH252" s="32">
        <f t="shared" si="236"/>
        <v>68.4323961784222</v>
      </c>
      <c r="AI252" s="32">
        <f t="shared" si="237"/>
        <v>1.55618284474483</v>
      </c>
      <c r="AJ252" s="32" t="str">
        <f t="shared" si="218"/>
        <v>1+0,215539031318192i</v>
      </c>
      <c r="AK252" s="32">
        <f t="shared" si="238"/>
        <v>1.0229648449588</v>
      </c>
      <c r="AL252" s="32">
        <f t="shared" si="239"/>
        <v>0.212291318392161</v>
      </c>
      <c r="AM252" s="32" t="str">
        <f t="shared" si="219"/>
        <v>1-0,0367380288206i</v>
      </c>
      <c r="AN252" s="32">
        <f t="shared" si="240"/>
        <v>1.0006746138289</v>
      </c>
      <c r="AO252" s="32">
        <f t="shared" si="241"/>
        <v>-0.0367215139643635</v>
      </c>
      <c r="AP252" s="30" t="str">
        <f t="shared" si="242"/>
        <v>2,11605843104725-10,9919454626114i</v>
      </c>
      <c r="AQ252" s="32">
        <f t="shared" si="243"/>
        <v>20.9795304086568</v>
      </c>
      <c r="AR252" s="31">
        <f t="shared" si="244"/>
        <v>-79.103300350891</v>
      </c>
      <c r="AS252" t="str">
        <f t="shared" si="220"/>
        <v>-0,0000504684572142411</v>
      </c>
      <c r="AT252" t="str">
        <f t="shared" si="221"/>
        <v>0,00308875129701515i</v>
      </c>
      <c r="AU252">
        <f t="shared" si="245"/>
        <v>0.00308875129701515</v>
      </c>
      <c r="AV252">
        <f t="shared" si="246"/>
        <v>1.5707963267949</v>
      </c>
      <c r="AW252" t="str">
        <f t="shared" si="222"/>
        <v>1+0,158138401076017i</v>
      </c>
      <c r="AX252">
        <f t="shared" si="247"/>
        <v>1.01242666593432</v>
      </c>
      <c r="AY252">
        <f t="shared" si="248"/>
        <v>0.156839605319878</v>
      </c>
      <c r="AZ252" t="str">
        <f t="shared" si="223"/>
        <v>1+7,56036143016615i</v>
      </c>
      <c r="BA252">
        <f t="shared" si="249"/>
        <v>7.6262090814994</v>
      </c>
      <c r="BB252">
        <f t="shared" si="250"/>
        <v>1.43929087027853</v>
      </c>
      <c r="BC252" s="30" t="str">
        <f t="shared" si="251"/>
        <v>-0,117997309147574+0,0349993427959827i</v>
      </c>
      <c r="BD252" s="32">
        <f t="shared" si="252"/>
        <v>-18.1963555897284</v>
      </c>
      <c r="BE252" s="31">
        <f t="shared" si="253"/>
        <v>163.479044913344</v>
      </c>
      <c r="BF252" s="30" t="str">
        <f t="shared" si="254"/>
        <v>0,076386799292096+0,238321144185871i</v>
      </c>
      <c r="BG252" s="68">
        <f t="shared" si="255"/>
        <v>-12.0320433796224</v>
      </c>
      <c r="BH252" s="31">
        <f t="shared" si="256"/>
        <v>72.2282830005531</v>
      </c>
      <c r="BI252" s="30" t="str">
        <f t="shared" si="263"/>
        <v>0,13502166637807+1,37108064128958i</v>
      </c>
      <c r="BJ252" s="68">
        <f t="shared" si="257"/>
        <v>2.78317481892837</v>
      </c>
      <c r="BK252" s="31">
        <f t="shared" si="264"/>
        <v>84.3757445624535</v>
      </c>
      <c r="BL252" s="32">
        <f t="shared" si="258"/>
        <v>-12.0320433796224</v>
      </c>
      <c r="BM252" s="31">
        <f t="shared" si="259"/>
        <v>72.2282830005531</v>
      </c>
      <c r="BO252">
        <f t="shared" si="260"/>
        <v>0</v>
      </c>
      <c r="BP252">
        <f t="shared" si="261"/>
        <v>0</v>
      </c>
    </row>
    <row r="253" spans="14:68">
      <c r="N253" s="7">
        <v>35</v>
      </c>
      <c r="O253" s="18">
        <f t="shared" si="262"/>
        <v>2238.72113856834</v>
      </c>
      <c r="P253" s="86" t="str">
        <f t="shared" si="212"/>
        <v>163,636363636364</v>
      </c>
      <c r="Q253" s="4" t="str">
        <f t="shared" si="213"/>
        <v>1+85,9323040172286i</v>
      </c>
      <c r="R253" s="4">
        <f t="shared" si="224"/>
        <v>85.9381223538739</v>
      </c>
      <c r="S253" s="4">
        <f t="shared" si="225"/>
        <v>1.55915978481387</v>
      </c>
      <c r="T253" s="4" t="str">
        <f t="shared" si="214"/>
        <v>1+0,220559580310887i</v>
      </c>
      <c r="U253" s="4">
        <f t="shared" si="226"/>
        <v>1.02403443714892</v>
      </c>
      <c r="V253" s="4">
        <f t="shared" si="227"/>
        <v>0.217083989216015</v>
      </c>
      <c r="W253" t="str">
        <f t="shared" si="215"/>
        <v>1-0,210994496470874i</v>
      </c>
      <c r="X253" s="4">
        <f t="shared" si="228"/>
        <v>1.02201696538805</v>
      </c>
      <c r="Y253" s="4">
        <f t="shared" si="229"/>
        <v>-0.207944495041281</v>
      </c>
      <c r="Z253" t="str">
        <f t="shared" si="216"/>
        <v>0,999959086756439+0,0437060028403952i</v>
      </c>
      <c r="AA253" s="4">
        <f t="shared" si="230"/>
        <v>1.00091377744092</v>
      </c>
      <c r="AB253" s="4">
        <f t="shared" si="231"/>
        <v>0.0436799902280533</v>
      </c>
      <c r="AC253" s="67" t="str">
        <f t="shared" si="232"/>
        <v>-0,0455976490016087-1,99047182879632i</v>
      </c>
      <c r="AD253" s="68">
        <f t="shared" si="233"/>
        <v>5.98139917710619</v>
      </c>
      <c r="AE253" s="31">
        <f t="shared" si="234"/>
        <v>-91.3122999025039</v>
      </c>
      <c r="AF253" s="32" t="str">
        <f t="shared" si="235"/>
        <v>748,315388573934</v>
      </c>
      <c r="AG253" s="32" t="str">
        <f t="shared" si="217"/>
        <v>1+70,0189143844084i</v>
      </c>
      <c r="AH253" s="32">
        <f t="shared" si="236"/>
        <v>70.0260549479343</v>
      </c>
      <c r="AI253" s="32">
        <f t="shared" si="237"/>
        <v>1.55651544245603</v>
      </c>
      <c r="AJ253" s="32" t="str">
        <f t="shared" si="218"/>
        <v>1+0,220559580310887i</v>
      </c>
      <c r="AK253" s="32">
        <f t="shared" si="238"/>
        <v>1.02403443714892</v>
      </c>
      <c r="AL253" s="32">
        <f t="shared" si="239"/>
        <v>0.217083989216015</v>
      </c>
      <c r="AM253" s="32" t="str">
        <f t="shared" si="219"/>
        <v>1-0,0375937674423282i</v>
      </c>
      <c r="AN253" s="32">
        <f t="shared" si="240"/>
        <v>1.00070639617747</v>
      </c>
      <c r="AO253" s="32">
        <f t="shared" si="241"/>
        <v>-0.0375760721296327</v>
      </c>
      <c r="AP253" s="30" t="str">
        <f t="shared" si="242"/>
        <v>2,10888677265714-10,7458290286103i</v>
      </c>
      <c r="AQ253" s="32">
        <f t="shared" si="243"/>
        <v>20.7889250686918</v>
      </c>
      <c r="AR253" s="31">
        <f t="shared" si="244"/>
        <v>-78.8967195614346</v>
      </c>
      <c r="AS253" t="str">
        <f t="shared" si="220"/>
        <v>-0,0000504684572142411</v>
      </c>
      <c r="AT253" t="str">
        <f t="shared" si="221"/>
        <v>0,0031606975571337i</v>
      </c>
      <c r="AU253">
        <f t="shared" si="245"/>
        <v>0.0031606975571337</v>
      </c>
      <c r="AV253">
        <f t="shared" si="246"/>
        <v>1.5707963267949</v>
      </c>
      <c r="AW253" t="str">
        <f t="shared" si="222"/>
        <v>1+0,16182191763157i</v>
      </c>
      <c r="AX253">
        <f t="shared" si="247"/>
        <v>1.01300855525803</v>
      </c>
      <c r="AY253">
        <f t="shared" si="248"/>
        <v>0.160431196292541</v>
      </c>
      <c r="AZ253" t="str">
        <f t="shared" si="223"/>
        <v>1+7,73646487059869i</v>
      </c>
      <c r="BA253">
        <f t="shared" si="249"/>
        <v>7.80082615458181</v>
      </c>
      <c r="BB253">
        <f t="shared" si="250"/>
        <v>1.44225105741834</v>
      </c>
      <c r="BC253" s="30" t="str">
        <f t="shared" si="251"/>
        <v>-0,1178617887634+0,0350401266752443i</v>
      </c>
      <c r="BD253" s="32">
        <f t="shared" si="252"/>
        <v>-18.2047085110574</v>
      </c>
      <c r="BE253" s="31">
        <f t="shared" si="253"/>
        <v>163.442868138554</v>
      </c>
      <c r="BF253" s="30" t="str">
        <f t="shared" si="254"/>
        <v>0,0751206054992635+0,233002822827981i</v>
      </c>
      <c r="BG253" s="68">
        <f t="shared" si="255"/>
        <v>-12.2233093339512</v>
      </c>
      <c r="BH253" s="31">
        <f t="shared" si="256"/>
        <v>72.1305682360497</v>
      </c>
      <c r="BI253" s="30" t="str">
        <f t="shared" si="263"/>
        <v>0,127978043068178+1,34041829071533i</v>
      </c>
      <c r="BJ253" s="68">
        <f t="shared" si="257"/>
        <v>2.5842165576344</v>
      </c>
      <c r="BK253" s="31">
        <f t="shared" si="264"/>
        <v>84.5461485771189</v>
      </c>
      <c r="BL253" s="32">
        <f t="shared" si="258"/>
        <v>-12.2233093339512</v>
      </c>
      <c r="BM253" s="31">
        <f t="shared" si="259"/>
        <v>72.1305682360497</v>
      </c>
      <c r="BO253">
        <f t="shared" si="260"/>
        <v>0</v>
      </c>
      <c r="BP253">
        <f t="shared" si="261"/>
        <v>0</v>
      </c>
    </row>
    <row r="254" spans="14:68">
      <c r="N254" s="7">
        <v>36</v>
      </c>
      <c r="O254" s="18">
        <f t="shared" si="262"/>
        <v>2290.86765276777</v>
      </c>
      <c r="P254" s="86" t="str">
        <f t="shared" si="212"/>
        <v>163,636363636364</v>
      </c>
      <c r="Q254" s="4" t="str">
        <f t="shared" si="213"/>
        <v>1+87,9339245113692i</v>
      </c>
      <c r="R254" s="4">
        <f t="shared" si="224"/>
        <v>87.939610415166</v>
      </c>
      <c r="S254" s="4">
        <f t="shared" si="225"/>
        <v>1.55942464174716</v>
      </c>
      <c r="T254" s="4" t="str">
        <f t="shared" si="214"/>
        <v>1+0,225697072912514i</v>
      </c>
      <c r="U254" s="4">
        <f t="shared" si="226"/>
        <v>1.02515324157966</v>
      </c>
      <c r="V254" s="4">
        <f t="shared" si="227"/>
        <v>0.221977827251099</v>
      </c>
      <c r="W254" t="str">
        <f t="shared" si="215"/>
        <v>1-0,215909189648451i</v>
      </c>
      <c r="X254" s="4">
        <f t="shared" si="228"/>
        <v>1.02304290143408</v>
      </c>
      <c r="Y254" s="4">
        <f t="shared" si="229"/>
        <v>-0.212645016699238</v>
      </c>
      <c r="Z254" t="str">
        <f t="shared" si="216"/>
        <v>0,999957158574673+0,0447240464271792i</v>
      </c>
      <c r="AA254" s="4">
        <f t="shared" si="230"/>
        <v>1.0009568219027</v>
      </c>
      <c r="AB254" s="4">
        <f t="shared" si="231"/>
        <v>0.04469617484895</v>
      </c>
      <c r="AC254" s="67" t="str">
        <f t="shared" si="232"/>
        <v>-0,0467715278447344-1,94911548736135i</v>
      </c>
      <c r="AD254" s="68">
        <f t="shared" si="233"/>
        <v>5.79925148848399</v>
      </c>
      <c r="AE254" s="31">
        <f t="shared" si="234"/>
        <v>-91.3746219644195</v>
      </c>
      <c r="AF254" s="32" t="str">
        <f t="shared" si="235"/>
        <v>748,315388573934</v>
      </c>
      <c r="AG254" s="32" t="str">
        <f t="shared" si="217"/>
        <v>1+71,6498644166712i</v>
      </c>
      <c r="AH254" s="32">
        <f t="shared" si="236"/>
        <v>71.6568424571399</v>
      </c>
      <c r="AI254" s="32">
        <f t="shared" si="237"/>
        <v>1.55684047237228</v>
      </c>
      <c r="AJ254" s="32" t="str">
        <f t="shared" si="218"/>
        <v>1+0,225697072912514i</v>
      </c>
      <c r="AK254" s="32">
        <f t="shared" si="238"/>
        <v>1.02515324157966</v>
      </c>
      <c r="AL254" s="32">
        <f t="shared" si="239"/>
        <v>0.221977827251099</v>
      </c>
      <c r="AM254" s="32" t="str">
        <f t="shared" si="219"/>
        <v>1-0,0384694387771668i</v>
      </c>
      <c r="AN254" s="32">
        <f t="shared" si="240"/>
        <v>1.00073967530014</v>
      </c>
      <c r="AO254" s="32">
        <f t="shared" si="241"/>
        <v>-0.0384504786648279</v>
      </c>
      <c r="AP254" s="30" t="str">
        <f t="shared" si="242"/>
        <v>2,10203776337846-10,5054009550183i</v>
      </c>
      <c r="AQ254" s="32">
        <f t="shared" si="243"/>
        <v>20.5987383311394</v>
      </c>
      <c r="AR254" s="31">
        <f t="shared" si="244"/>
        <v>-78.6850459428653</v>
      </c>
      <c r="AS254" t="str">
        <f t="shared" si="220"/>
        <v>-0,0000504684572142411</v>
      </c>
      <c r="AT254" t="str">
        <f t="shared" si="221"/>
        <v>0,0032343196609338i</v>
      </c>
      <c r="AU254">
        <f t="shared" si="245"/>
        <v>0.0032343196609338</v>
      </c>
      <c r="AV254">
        <f t="shared" si="246"/>
        <v>1.5707963267949</v>
      </c>
      <c r="AW254" t="str">
        <f t="shared" si="222"/>
        <v>1+0,165591234309819i</v>
      </c>
      <c r="AX254">
        <f t="shared" si="247"/>
        <v>1.0136175101488</v>
      </c>
      <c r="AY254">
        <f t="shared" si="248"/>
        <v>0.164102128666891</v>
      </c>
      <c r="AZ254" t="str">
        <f t="shared" si="223"/>
        <v>1+7,91667028710986i</v>
      </c>
      <c r="BA254">
        <f t="shared" si="249"/>
        <v>7.97957821158538</v>
      </c>
      <c r="BB254">
        <f t="shared" si="250"/>
        <v>1.44514605304442</v>
      </c>
      <c r="BC254" s="30" t="str">
        <f t="shared" si="251"/>
        <v>-0,117720214742708+0,0350974768535142i</v>
      </c>
      <c r="BD254" s="32">
        <f t="shared" si="252"/>
        <v>-18.2131416090016</v>
      </c>
      <c r="BE254" s="31">
        <f t="shared" si="253"/>
        <v>163.398410237709</v>
      </c>
      <c r="BF254" s="30" t="str">
        <f t="shared" si="254"/>
        <v>0,0739149900042177+0,227808731114582i</v>
      </c>
      <c r="BG254" s="68">
        <f t="shared" si="255"/>
        <v>-12.4138901205176</v>
      </c>
      <c r="BH254" s="31">
        <f t="shared" si="256"/>
        <v>72.0237882732893</v>
      </c>
      <c r="BI254" s="30" t="str">
        <f t="shared" si="263"/>
        <v>0,121260729953447+1,31047427812839i</v>
      </c>
      <c r="BJ254" s="68">
        <f t="shared" si="257"/>
        <v>2.38559672213781</v>
      </c>
      <c r="BK254" s="31">
        <f t="shared" si="264"/>
        <v>84.7133642948434</v>
      </c>
      <c r="BL254" s="32">
        <f t="shared" si="258"/>
        <v>-12.4138901205176</v>
      </c>
      <c r="BM254" s="31">
        <f t="shared" si="259"/>
        <v>72.0237882732893</v>
      </c>
      <c r="BO254">
        <f t="shared" si="260"/>
        <v>0</v>
      </c>
      <c r="BP254">
        <f t="shared" si="261"/>
        <v>0</v>
      </c>
    </row>
    <row r="255" spans="14:68">
      <c r="N255" s="7">
        <v>37</v>
      </c>
      <c r="O255" s="18">
        <f t="shared" si="262"/>
        <v>2344.22881531992</v>
      </c>
      <c r="P255" s="86" t="str">
        <f t="shared" si="212"/>
        <v>163,636363636364</v>
      </c>
      <c r="Q255" s="4" t="str">
        <f t="shared" si="213"/>
        <v>1+89,9821687362291i</v>
      </c>
      <c r="R255" s="4">
        <f t="shared" si="224"/>
        <v>89.9877252211389</v>
      </c>
      <c r="S255" s="4">
        <f t="shared" si="225"/>
        <v>1.55968347134231</v>
      </c>
      <c r="T255" s="4" t="str">
        <f t="shared" si="214"/>
        <v>1+0,230954233089654i</v>
      </c>
      <c r="U255" s="4">
        <f t="shared" si="226"/>
        <v>1.02632346644809</v>
      </c>
      <c r="V255" s="4">
        <f t="shared" si="227"/>
        <v>0.226974489203117</v>
      </c>
      <c r="W255" t="str">
        <f t="shared" si="215"/>
        <v>1-0,220938360736277i</v>
      </c>
      <c r="X255" s="4">
        <f t="shared" si="228"/>
        <v>1.02411608680112</v>
      </c>
      <c r="Y255" s="4">
        <f t="shared" si="229"/>
        <v>-0.217445169293701</v>
      </c>
      <c r="Z255" t="str">
        <f t="shared" si="216"/>
        <v>0,999955139520501+0,0457658032953716i</v>
      </c>
      <c r="AA255" s="4">
        <f t="shared" si="230"/>
        <v>1.00100189300757</v>
      </c>
      <c r="AB255" s="4">
        <f t="shared" si="231"/>
        <v>0.0457359399745753</v>
      </c>
      <c r="AC255" s="67" t="str">
        <f t="shared" si="232"/>
        <v>-0,0479088045942207-1,90879084509734i</v>
      </c>
      <c r="AD255" s="68">
        <f t="shared" si="233"/>
        <v>5.61790189402221</v>
      </c>
      <c r="AE255" s="31">
        <f t="shared" si="234"/>
        <v>-91.4377668043953</v>
      </c>
      <c r="AF255" s="32" t="str">
        <f t="shared" si="235"/>
        <v>748,315388573934</v>
      </c>
      <c r="AG255" s="32" t="str">
        <f t="shared" si="217"/>
        <v>1+73,3188041554459i</v>
      </c>
      <c r="AH255" s="32">
        <f t="shared" si="236"/>
        <v>73.3256233712652</v>
      </c>
      <c r="AI255" s="32">
        <f t="shared" si="237"/>
        <v>1.55715810655387</v>
      </c>
      <c r="AJ255" s="32" t="str">
        <f t="shared" si="218"/>
        <v>1+0,230954233089654i</v>
      </c>
      <c r="AK255" s="32">
        <f t="shared" si="238"/>
        <v>1.02632346644809</v>
      </c>
      <c r="AL255" s="32">
        <f t="shared" si="239"/>
        <v>0.226974489203117</v>
      </c>
      <c r="AM255" s="32" t="str">
        <f t="shared" si="219"/>
        <v>1-0,0393655071176483i</v>
      </c>
      <c r="AN255" s="32">
        <f t="shared" si="240"/>
        <v>1.00077452163343</v>
      </c>
      <c r="AO255" s="32">
        <f t="shared" si="241"/>
        <v>-0.0393451918403386</v>
      </c>
      <c r="AP255" s="30" t="str">
        <f t="shared" si="242"/>
        <v>2,09549689292888-10,2705343788718i</v>
      </c>
      <c r="AQ255" s="32">
        <f t="shared" si="243"/>
        <v>20.408988234796</v>
      </c>
      <c r="AR255" s="31">
        <f t="shared" si="244"/>
        <v>-78.4682206882269</v>
      </c>
      <c r="AS255" t="str">
        <f t="shared" si="220"/>
        <v>-0,0000504684572142411</v>
      </c>
      <c r="AT255" t="str">
        <f t="shared" si="221"/>
        <v>0,00330965664382943i</v>
      </c>
      <c r="AU255">
        <f t="shared" si="245"/>
        <v>0.00330965664382943</v>
      </c>
      <c r="AV255">
        <f t="shared" si="246"/>
        <v>1.5707963267949</v>
      </c>
      <c r="AW255" t="str">
        <f t="shared" si="222"/>
        <v>1+0,169448349652359i</v>
      </c>
      <c r="AX255">
        <f t="shared" si="247"/>
        <v>1.01425477233282</v>
      </c>
      <c r="AY255">
        <f t="shared" si="248"/>
        <v>0.167853952870818</v>
      </c>
      <c r="AZ255" t="str">
        <f t="shared" si="223"/>
        <v>1+8,1010732269968i</v>
      </c>
      <c r="BA255">
        <f t="shared" si="249"/>
        <v>8.16256010263718</v>
      </c>
      <c r="BB255">
        <f t="shared" si="250"/>
        <v>1.44797719791475</v>
      </c>
      <c r="BC255" s="30" t="str">
        <f t="shared" si="251"/>
        <v>-0,117572332621032+0,0351712875766359i</v>
      </c>
      <c r="BD255" s="32">
        <f t="shared" si="252"/>
        <v>-18.2216715935151</v>
      </c>
      <c r="BE255" s="31">
        <f t="shared" si="253"/>
        <v>163.345659197609</v>
      </c>
      <c r="BF255" s="30" t="str">
        <f t="shared" si="254"/>
        <v>0,0727673816457962+0,222735977799929i</v>
      </c>
      <c r="BG255" s="68">
        <f t="shared" si="255"/>
        <v>-12.6037696994929</v>
      </c>
      <c r="BH255" s="31">
        <f t="shared" si="256"/>
        <v>71.9078923932134</v>
      </c>
      <c r="BI255" s="30" t="str">
        <f t="shared" si="263"/>
        <v>0,114855460503252+1,28123200802561i</v>
      </c>
      <c r="BJ255" s="68">
        <f t="shared" si="257"/>
        <v>2.18731664128093</v>
      </c>
      <c r="BK255" s="31">
        <f t="shared" si="264"/>
        <v>84.8774385093819</v>
      </c>
      <c r="BL255" s="32">
        <f t="shared" si="258"/>
        <v>-12.6037696994929</v>
      </c>
      <c r="BM255" s="31">
        <f t="shared" si="259"/>
        <v>71.9078923932134</v>
      </c>
      <c r="BO255">
        <f t="shared" si="260"/>
        <v>0</v>
      </c>
      <c r="BP255">
        <f t="shared" si="261"/>
        <v>0</v>
      </c>
    </row>
    <row r="256" spans="14:68">
      <c r="N256" s="7">
        <v>38</v>
      </c>
      <c r="O256" s="18">
        <f t="shared" si="262"/>
        <v>2398.83291901949</v>
      </c>
      <c r="P256" s="86" t="str">
        <f t="shared" si="212"/>
        <v>163,636363636364</v>
      </c>
      <c r="Q256" s="4" t="str">
        <f t="shared" si="213"/>
        <v>1+92,078122698008i</v>
      </c>
      <c r="R256" s="4">
        <f t="shared" si="224"/>
        <v>92.0835527094248</v>
      </c>
      <c r="S256" s="4">
        <f t="shared" si="225"/>
        <v>1.55993641069541</v>
      </c>
      <c r="T256" s="4" t="str">
        <f t="shared" si="214"/>
        <v>1+0,23633384825822i</v>
      </c>
      <c r="U256" s="4">
        <f t="shared" si="226"/>
        <v>1.02754741390971</v>
      </c>
      <c r="V256" s="4">
        <f t="shared" si="227"/>
        <v>0.232075625921199</v>
      </c>
      <c r="W256" t="str">
        <f t="shared" si="215"/>
        <v>1-0,22608467626743i</v>
      </c>
      <c r="X256" s="4">
        <f t="shared" si="228"/>
        <v>1.02523864580055</v>
      </c>
      <c r="Y256" s="4">
        <f t="shared" si="229"/>
        <v>-0.222346612702418</v>
      </c>
      <c r="Z256" t="str">
        <f t="shared" si="216"/>
        <v>0,999953025311238+0,0468318257982534i</v>
      </c>
      <c r="AA256" s="4">
        <f t="shared" si="230"/>
        <v>1.00104908607755</v>
      </c>
      <c r="AB256" s="4">
        <f t="shared" si="231"/>
        <v>0.0467998284834647</v>
      </c>
      <c r="AC256" s="67" t="str">
        <f t="shared" si="232"/>
        <v>-0,0490118854420392-1,86947653774825i</v>
      </c>
      <c r="AD256" s="68">
        <f t="shared" si="233"/>
        <v>5.43738437466169</v>
      </c>
      <c r="AE256" s="31">
        <f t="shared" si="234"/>
        <v>-91.5017738994089</v>
      </c>
      <c r="AF256" s="32" t="str">
        <f t="shared" si="235"/>
        <v>748,315388573934</v>
      </c>
      <c r="AG256" s="32" t="str">
        <f t="shared" si="217"/>
        <v>1+75,0266184946731i</v>
      </c>
      <c r="AH256" s="32">
        <f t="shared" si="236"/>
        <v>75.0332825001361</v>
      </c>
      <c r="AI256" s="32">
        <f t="shared" si="237"/>
        <v>1.55746851315814</v>
      </c>
      <c r="AJ256" s="32" t="str">
        <f t="shared" si="218"/>
        <v>1+0,23633384825822i</v>
      </c>
      <c r="AK256" s="32">
        <f t="shared" si="238"/>
        <v>1.02754741390971</v>
      </c>
      <c r="AL256" s="32">
        <f t="shared" si="239"/>
        <v>0.232075625921199</v>
      </c>
      <c r="AM256" s="32" t="str">
        <f t="shared" si="219"/>
        <v>1-0,0402824475710679i</v>
      </c>
      <c r="AN256" s="32">
        <f t="shared" si="240"/>
        <v>1.00081100892342</v>
      </c>
      <c r="AO256" s="32">
        <f t="shared" si="241"/>
        <v>-0.0402606803118379</v>
      </c>
      <c r="AP256" s="30" t="str">
        <f t="shared" si="242"/>
        <v>2,08925030310077-10,041105344952i</v>
      </c>
      <c r="AQ256" s="32">
        <f t="shared" si="243"/>
        <v>20.2196934947725</v>
      </c>
      <c r="AR256" s="31">
        <f t="shared" si="244"/>
        <v>-78.2461856975289</v>
      </c>
      <c r="AS256" t="str">
        <f t="shared" si="220"/>
        <v>-0,0000504684572142411</v>
      </c>
      <c r="AT256" t="str">
        <f t="shared" si="221"/>
        <v>0,0033867484504861i</v>
      </c>
      <c r="AU256">
        <f t="shared" si="245"/>
        <v>0.0033867484504861</v>
      </c>
      <c r="AV256">
        <f t="shared" si="246"/>
        <v>1.5707963267949</v>
      </c>
      <c r="AW256" t="str">
        <f t="shared" si="222"/>
        <v>1+0,173395308752798i</v>
      </c>
      <c r="AX256">
        <f t="shared" si="247"/>
        <v>1.01492163889508</v>
      </c>
      <c r="AY256">
        <f t="shared" si="248"/>
        <v>0.171688235467247</v>
      </c>
      <c r="AZ256" t="str">
        <f t="shared" si="223"/>
        <v>1+8,28977146313909i</v>
      </c>
      <c r="BA256">
        <f t="shared" si="249"/>
        <v>8.34986891580192</v>
      </c>
      <c r="BB256">
        <f t="shared" si="250"/>
        <v>1.45074581150116</v>
      </c>
      <c r="BC256" s="30" t="str">
        <f t="shared" si="251"/>
        <v>-0,11741787872869+0,0352614529846876i</v>
      </c>
      <c r="BD256" s="32">
        <f t="shared" si="252"/>
        <v>-18.2303153289158</v>
      </c>
      <c r="BE256" s="31">
        <f t="shared" si="253"/>
        <v>163.284600860977</v>
      </c>
      <c r="BF256" s="30" t="str">
        <f t="shared" si="254"/>
        <v>0,0716753306628843+0,21778173910125i</v>
      </c>
      <c r="BG256" s="68">
        <f t="shared" si="255"/>
        <v>-12.7929309542541</v>
      </c>
      <c r="BH256" s="31">
        <f t="shared" si="256"/>
        <v>71.7828269615676</v>
      </c>
      <c r="BI256" s="30" t="str">
        <f t="shared" si="263"/>
        <v>0,108748625311955+1,25267529103161i</v>
      </c>
      <c r="BJ256" s="68">
        <f t="shared" si="257"/>
        <v>1.98937816585674</v>
      </c>
      <c r="BK256" s="31">
        <f t="shared" si="264"/>
        <v>85.0384151634476</v>
      </c>
      <c r="BL256" s="32">
        <f t="shared" si="258"/>
        <v>-12.7929309542541</v>
      </c>
      <c r="BM256" s="31">
        <f t="shared" si="259"/>
        <v>71.7828269615676</v>
      </c>
      <c r="BO256">
        <f t="shared" si="260"/>
        <v>0</v>
      </c>
      <c r="BP256">
        <f t="shared" si="261"/>
        <v>0</v>
      </c>
    </row>
    <row r="257" spans="14:68">
      <c r="N257" s="7">
        <v>39</v>
      </c>
      <c r="O257" s="18">
        <f t="shared" si="262"/>
        <v>2454.70891568503</v>
      </c>
      <c r="P257" s="86" t="str">
        <f t="shared" si="212"/>
        <v>163,636363636364</v>
      </c>
      <c r="Q257" s="4" t="str">
        <f t="shared" si="213"/>
        <v>1+94,2228976992388i</v>
      </c>
      <c r="R257" s="4">
        <f t="shared" si="224"/>
        <v>94.2282041155472</v>
      </c>
      <c r="S257" s="4">
        <f t="shared" si="225"/>
        <v>1.56018359378871</v>
      </c>
      <c r="T257" s="4" t="str">
        <f t="shared" si="214"/>
        <v>1+0,241838770761379i</v>
      </c>
      <c r="U257" s="4">
        <f t="shared" si="226"/>
        <v>1.02882748361588</v>
      </c>
      <c r="V257" s="4">
        <f t="shared" si="227"/>
        <v>0.237282879706007</v>
      </c>
      <c r="W257" t="str">
        <f t="shared" si="215"/>
        <v>1-0,231350864886524i</v>
      </c>
      <c r="X257" s="4">
        <f t="shared" si="228"/>
        <v>1.02641279351134</v>
      </c>
      <c r="Y257" s="4">
        <f t="shared" si="229"/>
        <v>-0.22735100328362</v>
      </c>
      <c r="Z257" t="str">
        <f t="shared" si="216"/>
        <v>0,999950811462361+0,0479226791550656i</v>
      </c>
      <c r="AA257" s="4">
        <f t="shared" si="230"/>
        <v>1.00109850090869</v>
      </c>
      <c r="AB257" s="4">
        <f t="shared" si="231"/>
        <v>0.0478883954450859</v>
      </c>
      <c r="AC257" s="67" t="str">
        <f t="shared" si="232"/>
        <v>-0,0500831037398692-1,83115172852925i</v>
      </c>
      <c r="AD257" s="68">
        <f t="shared" si="233"/>
        <v>5.25773417447391</v>
      </c>
      <c r="AE257" s="31">
        <f t="shared" si="234"/>
        <v>-91.5666835346553</v>
      </c>
      <c r="AF257" s="32" t="str">
        <f t="shared" si="235"/>
        <v>748,315388573934</v>
      </c>
      <c r="AG257" s="32" t="str">
        <f t="shared" si="217"/>
        <v>1+76,7742129401204i</v>
      </c>
      <c r="AH257" s="32">
        <f t="shared" si="236"/>
        <v>76.7807252673153</v>
      </c>
      <c r="AI257" s="32">
        <f t="shared" si="237"/>
        <v>1.55777185652736</v>
      </c>
      <c r="AJ257" s="32" t="str">
        <f t="shared" si="218"/>
        <v>1+0,241838770761379i</v>
      </c>
      <c r="AK257" s="32">
        <f t="shared" si="238"/>
        <v>1.02882748361588</v>
      </c>
      <c r="AL257" s="32">
        <f t="shared" si="239"/>
        <v>0.237282879706007</v>
      </c>
      <c r="AM257" s="32" t="str">
        <f t="shared" si="219"/>
        <v>1-0,0412207463113905i</v>
      </c>
      <c r="AN257" s="32">
        <f t="shared" si="240"/>
        <v>1.0008492143807</v>
      </c>
      <c r="AO257" s="32">
        <f t="shared" si="241"/>
        <v>-0.0411974233416226</v>
      </c>
      <c r="AP257" s="30" t="str">
        <f t="shared" si="242"/>
        <v>2,08328475850051-9,81699274279772i</v>
      </c>
      <c r="AQ257" s="32">
        <f t="shared" si="243"/>
        <v>20.0308735205744</v>
      </c>
      <c r="AR257" s="31">
        <f t="shared" si="244"/>
        <v>-78.0188837497008</v>
      </c>
      <c r="AS257" t="str">
        <f t="shared" si="220"/>
        <v>-0,0000504684572142411</v>
      </c>
      <c r="AT257" t="str">
        <f t="shared" si="221"/>
        <v>0,00346563595600013i</v>
      </c>
      <c r="AU257">
        <f t="shared" si="245"/>
        <v>0.00346563595600013</v>
      </c>
      <c r="AV257">
        <f t="shared" si="246"/>
        <v>1.5707963267949</v>
      </c>
      <c r="AW257" t="str">
        <f t="shared" si="222"/>
        <v>1+0,177434204341096i</v>
      </c>
      <c r="AX257">
        <f t="shared" si="247"/>
        <v>1.01561946459792</v>
      </c>
      <c r="AY257">
        <f t="shared" si="248"/>
        <v>0.175606558253175</v>
      </c>
      <c r="AZ257" t="str">
        <f t="shared" si="223"/>
        <v>1+8,48286504583919i</v>
      </c>
      <c r="BA257">
        <f t="shared" si="249"/>
        <v>8.54160402886485</v>
      </c>
      <c r="BB257">
        <f t="shared" si="250"/>
        <v>1.45345319189189</v>
      </c>
      <c r="BC257" s="30" t="str">
        <f t="shared" si="251"/>
        <v>-0,117256579999521+0,035367866527336i</v>
      </c>
      <c r="BD257" s="32">
        <f t="shared" si="252"/>
        <v>-18.2390898600578</v>
      </c>
      <c r="BE257" s="31">
        <f t="shared" si="253"/>
        <v>163.215218972498</v>
      </c>
      <c r="BF257" s="30" t="str">
        <f t="shared" si="254"/>
        <v>0,0706365033862214+0,212943256619205i</v>
      </c>
      <c r="BG257" s="68">
        <f t="shared" si="255"/>
        <v>-12.9813556855838</v>
      </c>
      <c r="BH257" s="31">
        <f t="shared" si="256"/>
        <v>71.6485354378432</v>
      </c>
      <c r="BI257" s="30" t="str">
        <f t="shared" si="263"/>
        <v>0,102927243080198+1,22478833217766i</v>
      </c>
      <c r="BJ257" s="68">
        <f t="shared" si="257"/>
        <v>1.79178366051667</v>
      </c>
      <c r="BK257" s="31">
        <f t="shared" si="264"/>
        <v>85.1963352227977</v>
      </c>
      <c r="BL257" s="32">
        <f t="shared" si="258"/>
        <v>-12.9813556855838</v>
      </c>
      <c r="BM257" s="31">
        <f t="shared" si="259"/>
        <v>71.6485354378432</v>
      </c>
      <c r="BO257">
        <f t="shared" si="260"/>
        <v>0</v>
      </c>
      <c r="BP257">
        <f t="shared" si="261"/>
        <v>0</v>
      </c>
    </row>
    <row r="258" spans="14:68">
      <c r="N258" s="7">
        <v>40</v>
      </c>
      <c r="O258" s="18">
        <f t="shared" si="262"/>
        <v>2511.88643150958</v>
      </c>
      <c r="P258" s="86" t="str">
        <f t="shared" si="212"/>
        <v>163,636363636364</v>
      </c>
      <c r="Q258" s="4" t="str">
        <f t="shared" si="213"/>
        <v>1+96,4176309280178i</v>
      </c>
      <c r="R258" s="4">
        <f t="shared" si="224"/>
        <v>96.4228165621159</v>
      </c>
      <c r="S258" s="4">
        <f t="shared" si="225"/>
        <v>1.56042515156108</v>
      </c>
      <c r="T258" s="4" t="str">
        <f t="shared" si="214"/>
        <v>1+0,247471919381912i</v>
      </c>
      <c r="U258" s="4">
        <f t="shared" si="226"/>
        <v>1.03016617634368</v>
      </c>
      <c r="V258" s="4">
        <f t="shared" si="227"/>
        <v>0.242597881438763</v>
      </c>
      <c r="W258" t="str">
        <f t="shared" si="215"/>
        <v>1-0,236739718796472i</v>
      </c>
      <c r="X258" s="4">
        <f t="shared" si="228"/>
        <v>1.02764083923121</v>
      </c>
      <c r="Y258" s="4">
        <f t="shared" si="229"/>
        <v>-0.232459991344407</v>
      </c>
      <c r="Z258" t="str">
        <f t="shared" si="216"/>
        <v>0,999948493278002+0,0490389417506978i</v>
      </c>
      <c r="AA258" s="4">
        <f t="shared" si="230"/>
        <v>1.00115024198018</v>
      </c>
      <c r="AB258" s="4">
        <f t="shared" si="231"/>
        <v>0.0490022083715651</v>
      </c>
      <c r="AC258" s="67" t="str">
        <f t="shared" si="232"/>
        <v>-0,0511247248942866-1,79379609712232i</v>
      </c>
      <c r="AD258" s="68">
        <f t="shared" si="233"/>
        <v>5.07898783204421</v>
      </c>
      <c r="AE258" s="31">
        <f t="shared" si="234"/>
        <v>-91.6325368414487</v>
      </c>
      <c r="AF258" s="32" t="str">
        <f t="shared" si="235"/>
        <v>748,315388573934</v>
      </c>
      <c r="AG258" s="32" t="str">
        <f t="shared" si="217"/>
        <v>1+78,562514089496i</v>
      </c>
      <c r="AH258" s="32">
        <f t="shared" si="236"/>
        <v>78.5688781901731</v>
      </c>
      <c r="AI258" s="32">
        <f t="shared" si="237"/>
        <v>1.55806829727479</v>
      </c>
      <c r="AJ258" s="32" t="str">
        <f t="shared" si="218"/>
        <v>1+0,247471919381912i</v>
      </c>
      <c r="AK258" s="32">
        <f t="shared" si="238"/>
        <v>1.03016617634368</v>
      </c>
      <c r="AL258" s="32">
        <f t="shared" si="239"/>
        <v>0.242597881438763</v>
      </c>
      <c r="AM258" s="32" t="str">
        <f t="shared" si="219"/>
        <v>1-0,0421809008370288i</v>
      </c>
      <c r="AN258" s="32">
        <f t="shared" si="240"/>
        <v>1.00088921884264</v>
      </c>
      <c r="AO258" s="32">
        <f t="shared" si="241"/>
        <v>-0.0421559110236558</v>
      </c>
      <c r="AP258" s="30" t="str">
        <f t="shared" si="242"/>
        <v>2,07758761859711-9,5980782450451i</v>
      </c>
      <c r="AQ258" s="32">
        <f t="shared" si="243"/>
        <v>19.8425484339061</v>
      </c>
      <c r="AR258" s="31">
        <f t="shared" si="244"/>
        <v>-77.7862586849082</v>
      </c>
      <c r="AS258" t="str">
        <f t="shared" si="220"/>
        <v>-0,0000504684572142411</v>
      </c>
      <c r="AT258" t="str">
        <f t="shared" si="221"/>
        <v>0,00354636098757114i</v>
      </c>
      <c r="AU258">
        <f t="shared" si="245"/>
        <v>0.00354636098757114</v>
      </c>
      <c r="AV258">
        <f t="shared" si="246"/>
        <v>1.5707963267949</v>
      </c>
      <c r="AW258" t="str">
        <f t="shared" si="222"/>
        <v>1+0,181567177893155i</v>
      </c>
      <c r="AX258">
        <f t="shared" si="247"/>
        <v>1.01634966428296</v>
      </c>
      <c r="AY258">
        <f t="shared" si="248"/>
        <v>0.17961051726367</v>
      </c>
      <c r="AZ258" t="str">
        <f t="shared" si="223"/>
        <v>1+8,68045635587063i</v>
      </c>
      <c r="BA258">
        <f t="shared" si="249"/>
        <v>8.73786716230997</v>
      </c>
      <c r="BB258">
        <f t="shared" si="250"/>
        <v>1.45610061573169</v>
      </c>
      <c r="BC258" s="30" t="str">
        <f t="shared" si="251"/>
        <v>-0,117088153790408+0,0354904203524398i</v>
      </c>
      <c r="BD258" s="32">
        <f t="shared" si="252"/>
        <v>-18.2480124384536</v>
      </c>
      <c r="BE258" s="31">
        <f t="shared" si="253"/>
        <v>163.137495232457</v>
      </c>
      <c r="BF258" s="30" t="str">
        <f t="shared" si="254"/>
        <v>0,0696486771643516+0,208217835311591i</v>
      </c>
      <c r="BG258" s="68">
        <f t="shared" si="255"/>
        <v>-13.1690246064093</v>
      </c>
      <c r="BH258" s="31">
        <f t="shared" si="256"/>
        <v>71.504958391008</v>
      </c>
      <c r="BI258" s="30" t="str">
        <f t="shared" si="263"/>
        <v>0,0973789328929124+1,19755571955125i</v>
      </c>
      <c r="BJ258" s="68">
        <f t="shared" si="257"/>
        <v>1.59453599545262</v>
      </c>
      <c r="BK258" s="31">
        <f t="shared" si="264"/>
        <v>85.3512365475485</v>
      </c>
      <c r="BL258" s="32">
        <f t="shared" si="258"/>
        <v>-13.1690246064093</v>
      </c>
      <c r="BM258" s="31">
        <f t="shared" si="259"/>
        <v>71.504958391008</v>
      </c>
      <c r="BO258">
        <f t="shared" si="260"/>
        <v>0</v>
      </c>
      <c r="BP258">
        <f t="shared" si="261"/>
        <v>0</v>
      </c>
    </row>
    <row r="259" spans="14:68">
      <c r="N259" s="7">
        <v>41</v>
      </c>
      <c r="O259" s="18">
        <f t="shared" si="262"/>
        <v>2570.39578276887</v>
      </c>
      <c r="P259" s="86" t="str">
        <f t="shared" si="212"/>
        <v>163,636363636364</v>
      </c>
      <c r="Q259" s="4" t="str">
        <f t="shared" si="213"/>
        <v>1+98,6634860609525i</v>
      </c>
      <c r="R259" s="4">
        <f t="shared" si="224"/>
        <v>98.6685536617405</v>
      </c>
      <c r="S259" s="4">
        <f t="shared" si="225"/>
        <v>1.5606612119768</v>
      </c>
      <c r="T259" s="4" t="str">
        <f t="shared" si="214"/>
        <v>1+0,253236280889778i</v>
      </c>
      <c r="U259" s="4">
        <f t="shared" si="226"/>
        <v>1.03156609771691</v>
      </c>
      <c r="V259" s="4">
        <f t="shared" si="227"/>
        <v>0.248022247525237</v>
      </c>
      <c r="W259" t="str">
        <f t="shared" si="215"/>
        <v>1-0,242254095238946i</v>
      </c>
      <c r="X259" s="4">
        <f t="shared" si="228"/>
        <v>1.02892519002114</v>
      </c>
      <c r="Y259" s="4">
        <f t="shared" si="229"/>
        <v>-0.237675218435718</v>
      </c>
      <c r="Z259" t="str">
        <f t="shared" si="216"/>
        <v>0,999946065840979+0,050181205442353i</v>
      </c>
      <c r="AA259" s="4">
        <f t="shared" si="230"/>
        <v>1.00120441867308</v>
      </c>
      <c r="AB259" s="4">
        <f t="shared" si="231"/>
        <v>0.0501418474729993</v>
      </c>
      <c r="AC259" s="67" t="str">
        <f t="shared" si="232"/>
        <v>-0,0521389511148679-1,75738982890732i</v>
      </c>
      <c r="AD259" s="68">
        <f t="shared" si="233"/>
        <v>4.90118321109557</v>
      </c>
      <c r="AE259" s="31">
        <f t="shared" si="234"/>
        <v>-91.6993758359056</v>
      </c>
      <c r="AF259" s="32" t="str">
        <f t="shared" si="235"/>
        <v>748,315388573934</v>
      </c>
      <c r="AG259" s="32" t="str">
        <f t="shared" si="217"/>
        <v>1+80,392470123739i</v>
      </c>
      <c r="AH259" s="32">
        <f t="shared" si="236"/>
        <v>80.3986893711351</v>
      </c>
      <c r="AI259" s="32">
        <f t="shared" si="237"/>
        <v>1.5583579923687</v>
      </c>
      <c r="AJ259" s="32" t="str">
        <f t="shared" si="218"/>
        <v>1+0,253236280889778i</v>
      </c>
      <c r="AK259" s="32">
        <f t="shared" si="238"/>
        <v>1.03156609771691</v>
      </c>
      <c r="AL259" s="32">
        <f t="shared" si="239"/>
        <v>0.248022247525237</v>
      </c>
      <c r="AM259" s="32" t="str">
        <f t="shared" si="219"/>
        <v>1-0,0431634202346209i</v>
      </c>
      <c r="AN259" s="32">
        <f t="shared" si="240"/>
        <v>1.00093110694311</v>
      </c>
      <c r="AO259" s="32">
        <f t="shared" si="241"/>
        <v>-0.0431366445122878</v>
      </c>
      <c r="AP259" s="30" t="str">
        <f t="shared" si="242"/>
        <v>2,07214681102184-9,3842462470727i</v>
      </c>
      <c r="AQ259" s="32">
        <f t="shared" si="243"/>
        <v>19.6547390861109</v>
      </c>
      <c r="AR259" s="31">
        <f t="shared" si="244"/>
        <v>-77.5482555975719</v>
      </c>
      <c r="AS259" t="str">
        <f t="shared" si="220"/>
        <v>-0,0000504684572142411</v>
      </c>
      <c r="AT259" t="str">
        <f t="shared" si="221"/>
        <v>0,00362896634667941i</v>
      </c>
      <c r="AU259">
        <f t="shared" si="245"/>
        <v>0.00362896634667941</v>
      </c>
      <c r="AV259">
        <f t="shared" si="246"/>
        <v>1.5707963267949</v>
      </c>
      <c r="AW259" t="str">
        <f t="shared" si="222"/>
        <v>1+0,185796420766259i</v>
      </c>
      <c r="AX259">
        <f t="shared" si="247"/>
        <v>1.0171137153581</v>
      </c>
      <c r="AY259">
        <f t="shared" si="248"/>
        <v>0.183701721675213</v>
      </c>
      <c r="AZ259" t="str">
        <f t="shared" si="223"/>
        <v>1+8,88265015876133i</v>
      </c>
      <c r="BA259">
        <f t="shared" si="249"/>
        <v>8.93876243352192</v>
      </c>
      <c r="BB259">
        <f t="shared" si="250"/>
        <v>1.45868933819641</v>
      </c>
      <c r="BC259" s="30" t="str">
        <f t="shared" si="251"/>
        <v>-0,116912307713469+0,0356290046668889i</v>
      </c>
      <c r="BD259" s="32">
        <f t="shared" si="252"/>
        <v>-18.2571005483353</v>
      </c>
      <c r="BE259" s="31">
        <f t="shared" si="253"/>
        <v>163.051409358109</v>
      </c>
      <c r="BF259" s="30" t="str">
        <f t="shared" si="254"/>
        <v>0,0687097355122809+0,203602841517135i</v>
      </c>
      <c r="BG259" s="68">
        <f t="shared" si="255"/>
        <v>-13.3559173372398</v>
      </c>
      <c r="BH259" s="31">
        <f t="shared" si="256"/>
        <v>71.3520335222033</v>
      </c>
      <c r="BI259" s="30" t="str">
        <f t="shared" si="263"/>
        <v>0,092091887734519+1,17096241329711i</v>
      </c>
      <c r="BJ259" s="68">
        <f t="shared" si="257"/>
        <v>1.39763853777558</v>
      </c>
      <c r="BK259" s="31">
        <f t="shared" si="264"/>
        <v>85.503153760537</v>
      </c>
      <c r="BL259" s="32">
        <f t="shared" si="258"/>
        <v>-13.3559173372398</v>
      </c>
      <c r="BM259" s="31">
        <f t="shared" si="259"/>
        <v>71.3520335222033</v>
      </c>
      <c r="BO259">
        <f t="shared" si="260"/>
        <v>0</v>
      </c>
      <c r="BP259">
        <f t="shared" si="261"/>
        <v>0</v>
      </c>
    </row>
    <row r="260" spans="14:68">
      <c r="N260" s="7">
        <v>42</v>
      </c>
      <c r="O260" s="18">
        <f t="shared" si="262"/>
        <v>2630.26799189538</v>
      </c>
      <c r="P260" s="86" t="str">
        <f t="shared" si="212"/>
        <v>163,636363636364</v>
      </c>
      <c r="Q260" s="4" t="str">
        <f t="shared" si="213"/>
        <v>1+100,961653880162i</v>
      </c>
      <c r="R260" s="4">
        <f t="shared" si="224"/>
        <v>100.966606133997</v>
      </c>
      <c r="S260" s="4">
        <f t="shared" si="225"/>
        <v>1.56089190009295</v>
      </c>
      <c r="T260" s="4" t="str">
        <f t="shared" si="214"/>
        <v>1+0,25913491162575i</v>
      </c>
      <c r="U260" s="4">
        <f t="shared" si="226"/>
        <v>1.03302996201625</v>
      </c>
      <c r="V260" s="4">
        <f t="shared" si="227"/>
        <v>0.253557576649151</v>
      </c>
      <c r="W260" t="str">
        <f t="shared" si="215"/>
        <v>1-0,247896918009327i</v>
      </c>
      <c r="X260" s="4">
        <f t="shared" si="228"/>
        <v>1.03026835434198</v>
      </c>
      <c r="Y260" s="4">
        <f t="shared" si="229"/>
        <v>-0.242998314467761</v>
      </c>
      <c r="Z260" t="str">
        <f t="shared" si="216"/>
        <v>0,999943524002374+0,0513500758733606i</v>
      </c>
      <c r="AA260" s="4">
        <f t="shared" si="230"/>
        <v>1.00126114549926</v>
      </c>
      <c r="AB260" s="4">
        <f t="shared" si="231"/>
        <v>0.0513079059162853</v>
      </c>
      <c r="AC260" s="67" t="str">
        <f t="shared" si="232"/>
        <v>-0,0531279260247486-1,7219136044227i</v>
      </c>
      <c r="AD260" s="68">
        <f t="shared" si="233"/>
        <v>4.72435953016644</v>
      </c>
      <c r="AE260" s="31">
        <f t="shared" si="234"/>
        <v>-91.7672434583735</v>
      </c>
      <c r="AF260" s="32" t="str">
        <f t="shared" si="235"/>
        <v>748,315388573934</v>
      </c>
      <c r="AG260" s="32" t="str">
        <f t="shared" si="217"/>
        <v>1+82,2650513097619i</v>
      </c>
      <c r="AH260" s="32">
        <f t="shared" si="236"/>
        <v>82.2711290003836</v>
      </c>
      <c r="AI260" s="32">
        <f t="shared" si="237"/>
        <v>1.55864109521466</v>
      </c>
      <c r="AJ260" s="32" t="str">
        <f t="shared" si="218"/>
        <v>1+0,25913491162575i</v>
      </c>
      <c r="AK260" s="32">
        <f t="shared" si="238"/>
        <v>1.03302996201625</v>
      </c>
      <c r="AL260" s="32">
        <f t="shared" si="239"/>
        <v>0.253557576649151</v>
      </c>
      <c r="AM260" s="32" t="str">
        <f t="shared" si="219"/>
        <v>1-0,0441688254489568i</v>
      </c>
      <c r="AN260" s="32">
        <f t="shared" si="240"/>
        <v>1.00097496729016</v>
      </c>
      <c r="AO260" s="32">
        <f t="shared" si="241"/>
        <v>-0.0441401362546415</v>
      </c>
      <c r="AP260" s="30" t="str">
        <f t="shared" si="242"/>
        <v>2,06695080606311-9,17538380793069i</v>
      </c>
      <c r="AQ260" s="32">
        <f t="shared" si="243"/>
        <v>19.4674670751507</v>
      </c>
      <c r="AR260" s="31">
        <f t="shared" si="244"/>
        <v>-77.3048210404106</v>
      </c>
      <c r="AS260" t="str">
        <f t="shared" si="220"/>
        <v>-0,0000504684572142411</v>
      </c>
      <c r="AT260" t="str">
        <f t="shared" si="221"/>
        <v>0,00371349583177972i</v>
      </c>
      <c r="AU260">
        <f t="shared" si="245"/>
        <v>0.00371349583177972</v>
      </c>
      <c r="AV260">
        <f t="shared" si="246"/>
        <v>1.5707963267949</v>
      </c>
      <c r="AW260" t="str">
        <f t="shared" si="222"/>
        <v>1+0,190124175360958i</v>
      </c>
      <c r="AX260">
        <f t="shared" si="247"/>
        <v>1.0179131603711</v>
      </c>
      <c r="AY260">
        <f t="shared" si="248"/>
        <v>0.187881792602578</v>
      </c>
      <c r="AZ260" t="str">
        <f t="shared" si="223"/>
        <v>1+9,08955366034198i</v>
      </c>
      <c r="BA260">
        <f t="shared" si="249"/>
        <v>9.14439641224265</v>
      </c>
      <c r="BB260">
        <f t="shared" si="250"/>
        <v>1.46122059299963</v>
      </c>
      <c r="BC260" s="30" t="str">
        <f t="shared" si="251"/>
        <v>-0,116728739483077+0,0357835070687256i</v>
      </c>
      <c r="BD260" s="32">
        <f t="shared" si="252"/>
        <v>-18.2663719326341</v>
      </c>
      <c r="BE260" s="31">
        <f t="shared" si="253"/>
        <v>162.956939153002</v>
      </c>
      <c r="BF260" s="30" t="str">
        <f t="shared" si="254"/>
        <v>0,0678176634718135+0,19909570102657i</v>
      </c>
      <c r="BG260" s="68">
        <f t="shared" si="255"/>
        <v>-13.5420124024677</v>
      </c>
      <c r="BH260" s="31">
        <f t="shared" si="256"/>
        <v>71.1896956946285</v>
      </c>
      <c r="BI260" s="30" t="str">
        <f t="shared" si="263"/>
        <v>0,0870548491840815+1,14499373495265i</v>
      </c>
      <c r="BJ260" s="68">
        <f t="shared" si="257"/>
        <v>1.20109514251656</v>
      </c>
      <c r="BK260" s="31">
        <f t="shared" si="264"/>
        <v>85.6521181125914</v>
      </c>
      <c r="BL260" s="32">
        <f t="shared" si="258"/>
        <v>-13.5420124024677</v>
      </c>
      <c r="BM260" s="31">
        <f t="shared" si="259"/>
        <v>71.1896956946285</v>
      </c>
      <c r="BO260">
        <f t="shared" si="260"/>
        <v>0</v>
      </c>
      <c r="BP260">
        <f t="shared" si="261"/>
        <v>0</v>
      </c>
    </row>
    <row r="261" spans="14:68">
      <c r="N261" s="7">
        <v>43</v>
      </c>
      <c r="O261" s="18">
        <f t="shared" si="262"/>
        <v>2691.53480392692</v>
      </c>
      <c r="P261" s="86" t="str">
        <f t="shared" si="212"/>
        <v>163,636363636364</v>
      </c>
      <c r="Q261" s="4" t="str">
        <f t="shared" si="213"/>
        <v>1+103,313352904645i</v>
      </c>
      <c r="R261" s="4">
        <f t="shared" si="224"/>
        <v>103.318192436762</v>
      </c>
      <c r="S261" s="4">
        <f t="shared" si="225"/>
        <v>1.56111733812515</v>
      </c>
      <c r="T261" s="4" t="str">
        <f t="shared" si="214"/>
        <v>1+0,265170939121923i</v>
      </c>
      <c r="U261" s="4">
        <f t="shared" si="226"/>
        <v>1.03456059607681</v>
      </c>
      <c r="V261" s="4">
        <f t="shared" si="227"/>
        <v>0.259205446329755</v>
      </c>
      <c r="W261" t="str">
        <f t="shared" si="215"/>
        <v>1-0,253671179006942i</v>
      </c>
      <c r="X261" s="4">
        <f t="shared" si="228"/>
        <v>1.03167294578213</v>
      </c>
      <c r="Y261" s="4">
        <f t="shared" si="229"/>
        <v>-0.248430894640008</v>
      </c>
      <c r="Z261" t="str">
        <f t="shared" si="216"/>
        <v>0,999940862370606+0,052546172794295i</v>
      </c>
      <c r="AA261" s="4">
        <f t="shared" si="230"/>
        <v>1.00132054234086</v>
      </c>
      <c r="AB261" s="4">
        <f t="shared" si="231"/>
        <v>0.0525009900873721</v>
      </c>
      <c r="AC261" s="67" t="str">
        <f t="shared" si="232"/>
        <v>-0,0540937391429587-1,68734858905056i</v>
      </c>
      <c r="AD261" s="68">
        <f t="shared" si="233"/>
        <v>4.54855739114415</v>
      </c>
      <c r="AE261" s="31">
        <f t="shared" si="234"/>
        <v>-91.836183613565</v>
      </c>
      <c r="AF261" s="32" t="str">
        <f t="shared" si="235"/>
        <v>748,315388573934</v>
      </c>
      <c r="AG261" s="32" t="str">
        <f t="shared" si="217"/>
        <v>1+84,1812505148962i</v>
      </c>
      <c r="AH261" s="32">
        <f t="shared" si="236"/>
        <v>84.187189870263</v>
      </c>
      <c r="AI261" s="32">
        <f t="shared" si="237"/>
        <v>1.55891775573593</v>
      </c>
      <c r="AJ261" s="32" t="str">
        <f t="shared" si="218"/>
        <v>1+0,265170939121923i</v>
      </c>
      <c r="AK261" s="32">
        <f t="shared" si="238"/>
        <v>1.03456059607681</v>
      </c>
      <c r="AL261" s="32">
        <f t="shared" si="239"/>
        <v>0.259205446329755</v>
      </c>
      <c r="AM261" s="32" t="str">
        <f t="shared" si="219"/>
        <v>1-0,0451976495591894i</v>
      </c>
      <c r="AN261" s="32">
        <f t="shared" si="240"/>
        <v>1.00102089265193</v>
      </c>
      <c r="AO261" s="32">
        <f t="shared" si="241"/>
        <v>-0.0451669102266233</v>
      </c>
      <c r="AP261" s="30" t="str">
        <f t="shared" si="242"/>
        <v>2,06198859230349-8,97138059253488i</v>
      </c>
      <c r="AQ261" s="32">
        <f t="shared" si="243"/>
        <v>19.2807547620252</v>
      </c>
      <c r="AR261" s="31">
        <f t="shared" si="244"/>
        <v>-77.0559032398069</v>
      </c>
      <c r="AS261" t="str">
        <f t="shared" si="220"/>
        <v>-0,0000504684572142411</v>
      </c>
      <c r="AT261" t="str">
        <f t="shared" si="221"/>
        <v>0,00379999426152399i</v>
      </c>
      <c r="AU261">
        <f t="shared" si="245"/>
        <v>0.00379999426152399</v>
      </c>
      <c r="AV261">
        <f t="shared" si="246"/>
        <v>1.5707963267949</v>
      </c>
      <c r="AW261" t="str">
        <f t="shared" si="222"/>
        <v>1+0,194552736310026i</v>
      </c>
      <c r="AX261">
        <f t="shared" si="247"/>
        <v>1.01874960967144</v>
      </c>
      <c r="AY261">
        <f t="shared" si="248"/>
        <v>0.192152361783309</v>
      </c>
      <c r="AZ261" t="str">
        <f t="shared" si="223"/>
        <v>1+9,30127656358784i</v>
      </c>
      <c r="BA261">
        <f t="shared" si="249"/>
        <v>9.35487817731201</v>
      </c>
      <c r="BB261">
        <f t="shared" si="250"/>
        <v>1.46369559242868</v>
      </c>
      <c r="BC261" s="30" t="str">
        <f t="shared" si="251"/>
        <v>-0,116537136779916+0,0359538118496497i</v>
      </c>
      <c r="BD261" s="32">
        <f t="shared" si="252"/>
        <v>-18.275844618862</v>
      </c>
      <c r="BE261" s="31">
        <f t="shared" si="253"/>
        <v>162.85406058441</v>
      </c>
      <c r="BF261" s="30" t="str">
        <f t="shared" si="254"/>
        <v>0,0669705431729358+0,194693897198193i</v>
      </c>
      <c r="BG261" s="68">
        <f t="shared" si="255"/>
        <v>-13.7272872277179</v>
      </c>
      <c r="BH261" s="31">
        <f t="shared" si="256"/>
        <v>71.0178769708447</v>
      </c>
      <c r="BI261" s="30" t="str">
        <f t="shared" si="263"/>
        <v>0,0822570832356996+1,11963535710072i</v>
      </c>
      <c r="BJ261" s="68">
        <f t="shared" si="257"/>
        <v>1.00491014316317</v>
      </c>
      <c r="BK261" s="31">
        <f t="shared" si="264"/>
        <v>85.7981573446028</v>
      </c>
      <c r="BL261" s="32">
        <f t="shared" si="258"/>
        <v>-13.7272872277179</v>
      </c>
      <c r="BM261" s="31">
        <f t="shared" si="259"/>
        <v>71.0178769708447</v>
      </c>
      <c r="BO261">
        <f t="shared" si="260"/>
        <v>0</v>
      </c>
      <c r="BP261">
        <f t="shared" si="261"/>
        <v>0</v>
      </c>
    </row>
    <row r="262" spans="14:68">
      <c r="N262" s="7">
        <v>44</v>
      </c>
      <c r="O262" s="18">
        <f t="shared" si="262"/>
        <v>2754.22870333817</v>
      </c>
      <c r="P262" s="86" t="str">
        <f t="shared" si="212"/>
        <v>163,636363636364</v>
      </c>
      <c r="Q262" s="4" t="str">
        <f t="shared" si="213"/>
        <v>1+105,719830036352i</v>
      </c>
      <c r="R262" s="4">
        <f t="shared" si="224"/>
        <v>105.724559412254</v>
      </c>
      <c r="S262" s="4">
        <f t="shared" si="225"/>
        <v>1.56133764551191</v>
      </c>
      <c r="T262" s="4" t="str">
        <f t="shared" si="214"/>
        <v>1+0,271347563759971i</v>
      </c>
      <c r="U262" s="4">
        <f t="shared" si="226"/>
        <v>1.03616094327014</v>
      </c>
      <c r="V262" s="4">
        <f t="shared" si="227"/>
        <v>0.264967409278855</v>
      </c>
      <c r="W262" t="str">
        <f t="shared" si="215"/>
        <v>1-0,259579939821401i</v>
      </c>
      <c r="X262" s="4">
        <f t="shared" si="228"/>
        <v>1.0331416868744</v>
      </c>
      <c r="Y262" s="4">
        <f t="shared" si="229"/>
        <v>-0.253974556180154</v>
      </c>
      <c r="Z262" t="str">
        <f t="shared" si="216"/>
        <v>0,999938075299998+0,0537701303915758i</v>
      </c>
      <c r="AA262" s="4">
        <f t="shared" si="230"/>
        <v>1.00138273470087</v>
      </c>
      <c r="AB262" s="4">
        <f t="shared" si="231"/>
        <v>0.0537217198568374</v>
      </c>
      <c r="AC262" s="67" t="str">
        <f t="shared" si="232"/>
        <v>-0,0550384302474651-1,65367642291993i</v>
      </c>
      <c r="AD262" s="68">
        <f t="shared" si="233"/>
        <v>4.37381880643538</v>
      </c>
      <c r="AE262" s="31">
        <f t="shared" si="234"/>
        <v>-91.9062412113438</v>
      </c>
      <c r="AF262" s="32" t="str">
        <f t="shared" si="235"/>
        <v>748,315388573934</v>
      </c>
      <c r="AG262" s="32" t="str">
        <f t="shared" si="217"/>
        <v>1+86,1420837333241i</v>
      </c>
      <c r="AH262" s="32">
        <f t="shared" si="236"/>
        <v>86.1478879016719</v>
      </c>
      <c r="AI262" s="32">
        <f t="shared" si="237"/>
        <v>1.55918812045206</v>
      </c>
      <c r="AJ262" s="32" t="str">
        <f t="shared" si="218"/>
        <v>1+0,271347563759971i</v>
      </c>
      <c r="AK262" s="32">
        <f t="shared" si="238"/>
        <v>1.03616094327014</v>
      </c>
      <c r="AL262" s="32">
        <f t="shared" si="239"/>
        <v>0.264967409278855</v>
      </c>
      <c r="AM262" s="32" t="str">
        <f t="shared" si="219"/>
        <v>1-0,0462504380614799i</v>
      </c>
      <c r="AN262" s="32">
        <f t="shared" si="240"/>
        <v>1.00106898015116</v>
      </c>
      <c r="AO262" s="32">
        <f t="shared" si="241"/>
        <v>-0.0462175021725213</v>
      </c>
      <c r="AP262" s="30" t="str">
        <f t="shared" si="242"/>
        <v>2,05724965334789-8,77212881510358i</v>
      </c>
      <c r="AQ262" s="32">
        <f t="shared" si="243"/>
        <v>19.0946252865174</v>
      </c>
      <c r="AR262" s="31">
        <f t="shared" si="244"/>
        <v>-76.8014523227667</v>
      </c>
      <c r="AS262" t="str">
        <f t="shared" si="220"/>
        <v>-0,0000504684572142411</v>
      </c>
      <c r="AT262" t="str">
        <f t="shared" si="221"/>
        <v>0,00388850749852457i</v>
      </c>
      <c r="AU262">
        <f t="shared" si="245"/>
        <v>0.00388850749852457</v>
      </c>
      <c r="AV262">
        <f t="shared" si="246"/>
        <v>1.5707963267949</v>
      </c>
      <c r="AW262" t="str">
        <f t="shared" si="222"/>
        <v>1+0,199084451695096i</v>
      </c>
      <c r="AX262">
        <f t="shared" si="247"/>
        <v>1.01962474416166</v>
      </c>
      <c r="AY262">
        <f t="shared" si="248"/>
        <v>0.196515070143651</v>
      </c>
      <c r="AZ262" t="str">
        <f t="shared" si="223"/>
        <v>1+9,51793112678467i</v>
      </c>
      <c r="BA262">
        <f t="shared" si="249"/>
        <v>9.57031937472394</v>
      </c>
      <c r="BB262">
        <f t="shared" si="250"/>
        <v>1.46611552740779</v>
      </c>
      <c r="BC262" s="30" t="str">
        <f t="shared" si="251"/>
        <v>-0,11633717713458+0,036139799267104i</v>
      </c>
      <c r="BD262" s="32">
        <f t="shared" si="252"/>
        <v>-18.2855369448703</v>
      </c>
      <c r="BE262" s="31">
        <f t="shared" si="253"/>
        <v>162.742747869115</v>
      </c>
      <c r="BF262" s="30" t="str">
        <f t="shared" si="254"/>
        <v>0,0661665495859774+0,190394969115395i</v>
      </c>
      <c r="BG262" s="68">
        <f t="shared" si="255"/>
        <v>-13.9117181384349</v>
      </c>
      <c r="BH262" s="31">
        <f t="shared" si="256"/>
        <v>70.8365066577707</v>
      </c>
      <c r="BI262" s="30" t="str">
        <f t="shared" si="263"/>
        <v>0,0776883571914354+1,09487329332437i</v>
      </c>
      <c r="BJ262" s="68">
        <f t="shared" si="257"/>
        <v>0.809088341647134</v>
      </c>
      <c r="BK262" s="31">
        <f t="shared" si="264"/>
        <v>85.9412955463478</v>
      </c>
      <c r="BL262" s="32">
        <f t="shared" si="258"/>
        <v>-13.9117181384349</v>
      </c>
      <c r="BM262" s="31">
        <f t="shared" si="259"/>
        <v>70.8365066577707</v>
      </c>
      <c r="BO262">
        <f t="shared" si="260"/>
        <v>0</v>
      </c>
      <c r="BP262">
        <f t="shared" si="261"/>
        <v>0</v>
      </c>
    </row>
    <row r="263" spans="14:68">
      <c r="N263" s="7">
        <v>45</v>
      </c>
      <c r="O263" s="18">
        <f t="shared" si="262"/>
        <v>2818.38293126446</v>
      </c>
      <c r="P263" s="86" t="str">
        <f t="shared" si="212"/>
        <v>163,636363636364</v>
      </c>
      <c r="Q263" s="4" t="str">
        <f t="shared" si="213"/>
        <v>1+108,182361221312i</v>
      </c>
      <c r="R263" s="4">
        <f t="shared" si="224"/>
        <v>108.186982948127</v>
      </c>
      <c r="S263" s="4">
        <f t="shared" si="225"/>
        <v>1.56155293897755</v>
      </c>
      <c r="T263" s="4" t="str">
        <f t="shared" si="214"/>
        <v>1+0,277668060468033i</v>
      </c>
      <c r="U263" s="4">
        <f t="shared" si="226"/>
        <v>1.03783406756768</v>
      </c>
      <c r="V263" s="4">
        <f t="shared" si="227"/>
        <v>0.270844989553135</v>
      </c>
      <c r="W263" t="str">
        <f t="shared" si="215"/>
        <v>1-0,265626333355899i</v>
      </c>
      <c r="X263" s="4">
        <f t="shared" si="228"/>
        <v>1.03467741299987</v>
      </c>
      <c r="Y263" s="4">
        <f t="shared" si="229"/>
        <v>-0.259630874886925</v>
      </c>
      <c r="Z263" t="str">
        <f t="shared" si="216"/>
        <v>0,999935156878798+0,055022597623722i</v>
      </c>
      <c r="AA263" s="4">
        <f t="shared" si="230"/>
        <v>1.00144785396519</v>
      </c>
      <c r="AB263" s="4">
        <f t="shared" si="231"/>
        <v>0.054970728848672</v>
      </c>
      <c r="AC263" s="67" t="str">
        <f t="shared" si="232"/>
        <v>-0,0559639936276432-1,62087921102274i</v>
      </c>
      <c r="AD263" s="68">
        <f t="shared" si="233"/>
        <v>4.20018722454229</v>
      </c>
      <c r="AE263" s="31">
        <f t="shared" si="234"/>
        <v>-91.9774622081007</v>
      </c>
      <c r="AF263" s="32" t="str">
        <f t="shared" si="235"/>
        <v>748,315388573934</v>
      </c>
      <c r="AG263" s="32" t="str">
        <f t="shared" si="217"/>
        <v>1+88,1485906247725i</v>
      </c>
      <c r="AH263" s="32">
        <f t="shared" si="236"/>
        <v>88.1542626827185</v>
      </c>
      <c r="AI263" s="32">
        <f t="shared" si="237"/>
        <v>1.55945233255582</v>
      </c>
      <c r="AJ263" s="32" t="str">
        <f t="shared" si="218"/>
        <v>1+0,277668060468033i</v>
      </c>
      <c r="AK263" s="32">
        <f t="shared" si="238"/>
        <v>1.03783406756768</v>
      </c>
      <c r="AL263" s="32">
        <f t="shared" si="239"/>
        <v>0.270844989553135</v>
      </c>
      <c r="AM263" s="32" t="str">
        <f t="shared" si="219"/>
        <v>1-0,0473277491582275i</v>
      </c>
      <c r="AN263" s="32">
        <f t="shared" si="240"/>
        <v>1.00111933146872</v>
      </c>
      <c r="AO263" s="32">
        <f t="shared" si="241"/>
        <v>-0.0472924598481416</v>
      </c>
      <c r="AP263" s="30" t="str">
        <f t="shared" si="242"/>
        <v>2,05272394559425-8,57752318381709i</v>
      </c>
      <c r="AQ263" s="32">
        <f t="shared" si="243"/>
        <v>18.9091025821483</v>
      </c>
      <c r="AR263" s="31">
        <f t="shared" si="244"/>
        <v>-76.541420555711</v>
      </c>
      <c r="AS263" t="str">
        <f t="shared" si="220"/>
        <v>-0,0000504684572142411</v>
      </c>
      <c r="AT263" t="str">
        <f t="shared" si="221"/>
        <v>0,00397908247367136i</v>
      </c>
      <c r="AU263">
        <f t="shared" si="245"/>
        <v>0.00397908247367136</v>
      </c>
      <c r="AV263">
        <f t="shared" si="246"/>
        <v>1.5707963267949</v>
      </c>
      <c r="AW263" t="str">
        <f t="shared" si="222"/>
        <v>1+0,203721724291648i</v>
      </c>
      <c r="AX263">
        <f t="shared" si="247"/>
        <v>1.02054031813954</v>
      </c>
      <c r="AY263">
        <f t="shared" si="248"/>
        <v>0.200971566239704</v>
      </c>
      <c r="AZ263" t="str">
        <f t="shared" si="223"/>
        <v>1+9,73963222304962i</v>
      </c>
      <c r="BA263">
        <f t="shared" si="249"/>
        <v>9.79083427703005</v>
      </c>
      <c r="BB263">
        <f t="shared" si="250"/>
        <v>1.46848156758592</v>
      </c>
      <c r="BC263" s="30" t="str">
        <f t="shared" si="251"/>
        <v>-0,116128527833319+0,0363413447852232i</v>
      </c>
      <c r="BD263" s="32">
        <f t="shared" si="252"/>
        <v>-18.2954675844595</v>
      </c>
      <c r="BE263" s="31">
        <f t="shared" si="253"/>
        <v>162.62297356776</v>
      </c>
      <c r="BF263" s="30" t="str">
        <f t="shared" si="254"/>
        <v>0,0654039464546294+0,186196509783722i</v>
      </c>
      <c r="BG263" s="68">
        <f t="shared" si="255"/>
        <v>-14.0952803599172</v>
      </c>
      <c r="BH263" s="31">
        <f t="shared" si="256"/>
        <v>70.645511359659</v>
      </c>
      <c r="BI263" s="30" t="str">
        <f t="shared" si="263"/>
        <v>0,0733389175762801+1,07069388844857i</v>
      </c>
      <c r="BJ263" s="68">
        <f t="shared" si="257"/>
        <v>0.613634997688834</v>
      </c>
      <c r="BK263" s="31">
        <f t="shared" si="264"/>
        <v>86.0815530120486</v>
      </c>
      <c r="BL263" s="32">
        <f t="shared" si="258"/>
        <v>-14.0952803599172</v>
      </c>
      <c r="BM263" s="31">
        <f t="shared" si="259"/>
        <v>70.645511359659</v>
      </c>
      <c r="BO263">
        <f t="shared" si="260"/>
        <v>0</v>
      </c>
      <c r="BP263">
        <f t="shared" si="261"/>
        <v>0</v>
      </c>
    </row>
    <row r="264" spans="14:68">
      <c r="N264" s="7">
        <v>46</v>
      </c>
      <c r="O264" s="18">
        <f t="shared" si="262"/>
        <v>2884.03150312661</v>
      </c>
      <c r="P264" s="86" t="str">
        <f t="shared" si="212"/>
        <v>163,636363636364</v>
      </c>
      <c r="Q264" s="4" t="str">
        <f t="shared" si="213"/>
        <v>1+110,702252126154i</v>
      </c>
      <c r="R264" s="4">
        <f t="shared" si="224"/>
        <v>110.706768653965</v>
      </c>
      <c r="S264" s="4">
        <f t="shared" si="225"/>
        <v>1.56176333259362</v>
      </c>
      <c r="T264" s="4" t="str">
        <f t="shared" si="214"/>
        <v>1+0,284135780457127i</v>
      </c>
      <c r="U264" s="4">
        <f t="shared" si="226"/>
        <v>1.03958315768195</v>
      </c>
      <c r="V264" s="4">
        <f t="shared" si="227"/>
        <v>0.276839678498291</v>
      </c>
      <c r="W264" t="str">
        <f t="shared" si="215"/>
        <v>1-0,271813565488323i</v>
      </c>
      <c r="X264" s="4">
        <f t="shared" si="228"/>
        <v>1.03628307637608</v>
      </c>
      <c r="Y264" s="4">
        <f t="shared" si="229"/>
        <v>-0.265401401471977</v>
      </c>
      <c r="Z264" t="str">
        <f t="shared" si="216"/>
        <v>0,999932100916645+0,0563042385654383i</v>
      </c>
      <c r="AA264" s="4">
        <f t="shared" si="230"/>
        <v>1.00151603767689</v>
      </c>
      <c r="AB264" s="4">
        <f t="shared" si="231"/>
        <v>0.0562486647121386</v>
      </c>
      <c r="AC264" s="67" t="str">
        <f t="shared" si="232"/>
        <v>-0,0568723822345549-1,58893951353659i</v>
      </c>
      <c r="AD264" s="68">
        <f t="shared" si="233"/>
        <v>4.02770755379466</v>
      </c>
      <c r="AE264" s="31">
        <f t="shared" si="234"/>
        <v>-92.0498936486434</v>
      </c>
      <c r="AF264" s="32" t="str">
        <f t="shared" si="235"/>
        <v>748,315388573934</v>
      </c>
      <c r="AG264" s="32" t="str">
        <f t="shared" si="217"/>
        <v>1+90,2018350657547i</v>
      </c>
      <c r="AH264" s="32">
        <f t="shared" si="236"/>
        <v>90.2073780199248</v>
      </c>
      <c r="AI264" s="32">
        <f t="shared" si="237"/>
        <v>1.55971053198832</v>
      </c>
      <c r="AJ264" s="32" t="str">
        <f t="shared" si="218"/>
        <v>1+0,284135780457127i</v>
      </c>
      <c r="AK264" s="32">
        <f t="shared" si="238"/>
        <v>1.03958315768195</v>
      </c>
      <c r="AL264" s="32">
        <f t="shared" si="239"/>
        <v>0.276839678498291</v>
      </c>
      <c r="AM264" s="32" t="str">
        <f t="shared" si="219"/>
        <v>1-0,0484301540540356i</v>
      </c>
      <c r="AN264" s="32">
        <f t="shared" si="240"/>
        <v>1.00117205305667</v>
      </c>
      <c r="AO264" s="32">
        <f t="shared" si="241"/>
        <v>-0.0483923432674197</v>
      </c>
      <c r="AP264" s="30" t="str">
        <f t="shared" si="242"/>
        <v>2,04840187700038-8,38746084667874i</v>
      </c>
      <c r="AQ264" s="32">
        <f t="shared" si="243"/>
        <v>18.7242113902121</v>
      </c>
      <c r="AR264" s="31">
        <f t="shared" si="244"/>
        <v>-76.2757625952959</v>
      </c>
      <c r="AS264" t="str">
        <f t="shared" si="220"/>
        <v>-0,0000504684572142411</v>
      </c>
      <c r="AT264" t="str">
        <f t="shared" si="221"/>
        <v>0,00407176721101507i</v>
      </c>
      <c r="AU264">
        <f t="shared" si="245"/>
        <v>0.00407176721101507</v>
      </c>
      <c r="AV264">
        <f t="shared" si="246"/>
        <v>1.5707963267949</v>
      </c>
      <c r="AW264" t="str">
        <f t="shared" si="222"/>
        <v>1+0,208467012842995i</v>
      </c>
      <c r="AX264">
        <f t="shared" si="247"/>
        <v>1.02149816223216</v>
      </c>
      <c r="AY264">
        <f t="shared" si="248"/>
        <v>0.205523504567431</v>
      </c>
      <c r="AZ264" t="str">
        <f t="shared" si="223"/>
        <v>1+9,9664974012385i</v>
      </c>
      <c r="BA264">
        <f t="shared" si="249"/>
        <v>10.0165398441225</v>
      </c>
      <c r="BB264">
        <f t="shared" si="250"/>
        <v>1.47079486144749</v>
      </c>
      <c r="BC264" s="30" t="str">
        <f t="shared" si="251"/>
        <v>-0,115910845848801+0,0365583182840579i</v>
      </c>
      <c r="BD264" s="32">
        <f t="shared" si="252"/>
        <v>-18.3056555728069</v>
      </c>
      <c r="BE264" s="31">
        <f t="shared" si="253"/>
        <v>162.494708688019</v>
      </c>
      <c r="BF264" s="30" t="str">
        <f t="shared" si="254"/>
        <v>0,0646810824002304+0,182096164365305i</v>
      </c>
      <c r="BG264" s="68">
        <f t="shared" si="255"/>
        <v>-14.2779480190122</v>
      </c>
      <c r="BH264" s="31">
        <f t="shared" si="256"/>
        <v>70.4448150393751</v>
      </c>
      <c r="BI264" s="30" t="str">
        <f t="shared" si="263"/>
        <v>0,0691994690265695+1,04708380905527i</v>
      </c>
      <c r="BJ264" s="68">
        <f t="shared" si="257"/>
        <v>0.418555817405222</v>
      </c>
      <c r="BK264" s="31">
        <f t="shared" si="264"/>
        <v>86.2189460927226</v>
      </c>
      <c r="BL264" s="32">
        <f t="shared" si="258"/>
        <v>-14.2779480190122</v>
      </c>
      <c r="BM264" s="31">
        <f t="shared" si="259"/>
        <v>70.4448150393751</v>
      </c>
      <c r="BO264">
        <f t="shared" si="260"/>
        <v>0</v>
      </c>
      <c r="BP264">
        <f t="shared" si="261"/>
        <v>0</v>
      </c>
    </row>
    <row r="265" spans="14:68">
      <c r="N265" s="7">
        <v>47</v>
      </c>
      <c r="O265" s="18">
        <f t="shared" si="262"/>
        <v>2951.20922666639</v>
      </c>
      <c r="P265" s="86" t="str">
        <f t="shared" si="212"/>
        <v>163,636363636364</v>
      </c>
      <c r="Q265" s="4" t="str">
        <f t="shared" si="213"/>
        <v>1+113,28083883039i</v>
      </c>
      <c r="R265" s="4">
        <f t="shared" si="224"/>
        <v>113.285252553529</v>
      </c>
      <c r="S265" s="4">
        <f t="shared" si="225"/>
        <v>1.56196893783906</v>
      </c>
      <c r="T265" s="4" t="str">
        <f t="shared" si="214"/>
        <v>1+0,290754152998001i</v>
      </c>
      <c r="U265" s="4">
        <f t="shared" si="226"/>
        <v>1.04141153128126</v>
      </c>
      <c r="V265" s="4">
        <f t="shared" si="227"/>
        <v>0.282952930482229</v>
      </c>
      <c r="W265" t="str">
        <f t="shared" si="215"/>
        <v>1-0,278144916771047i</v>
      </c>
      <c r="X265" s="4">
        <f t="shared" si="228"/>
        <v>1.03796175012645</v>
      </c>
      <c r="Y265" s="4">
        <f t="shared" si="229"/>
        <v>-0.271287657696826</v>
      </c>
      <c r="Z265" t="str">
        <f t="shared" si="216"/>
        <v>0,999928900931432+0,0576157327597168i</v>
      </c>
      <c r="AA265" s="4">
        <f t="shared" si="230"/>
        <v>1.00158742982297</v>
      </c>
      <c r="AB265" s="4">
        <f t="shared" si="231"/>
        <v>0.0575561893965565</v>
      </c>
      <c r="AC265" s="67" t="str">
        <f t="shared" si="232"/>
        <v>-0,0577655117371928-1,55784033634833i</v>
      </c>
      <c r="AD265" s="68">
        <f t="shared" si="233"/>
        <v>3.85642618397158</v>
      </c>
      <c r="AE265" s="31">
        <f t="shared" si="234"/>
        <v>-92.1235837085158</v>
      </c>
      <c r="AF265" s="32" t="str">
        <f t="shared" si="235"/>
        <v>748,315388573934</v>
      </c>
      <c r="AG265" s="32" t="str">
        <f t="shared" si="217"/>
        <v>1+92,3029057136511i</v>
      </c>
      <c r="AH265" s="32">
        <f t="shared" si="236"/>
        <v>92.3083225022704</v>
      </c>
      <c r="AI265" s="32">
        <f t="shared" si="237"/>
        <v>1.55996285551254</v>
      </c>
      <c r="AJ265" s="32" t="str">
        <f t="shared" si="218"/>
        <v>1+0,290754152998001i</v>
      </c>
      <c r="AK265" s="32">
        <f t="shared" si="238"/>
        <v>1.04141153128126</v>
      </c>
      <c r="AL265" s="32">
        <f t="shared" si="239"/>
        <v>0.282952930482229</v>
      </c>
      <c r="AM265" s="32" t="str">
        <f t="shared" si="219"/>
        <v>1-0,0495582372585719i</v>
      </c>
      <c r="AN265" s="32">
        <f t="shared" si="240"/>
        <v>1.001227256361</v>
      </c>
      <c r="AO265" s="32">
        <f t="shared" si="241"/>
        <v>-0.0495177249524375</v>
      </c>
      <c r="AP265" s="30" t="str">
        <f t="shared" si="242"/>
        <v>2,0442742868023-8,2018413385573i</v>
      </c>
      <c r="AQ265" s="32">
        <f t="shared" si="243"/>
        <v>18.5399772727587</v>
      </c>
      <c r="AR265" s="31">
        <f t="shared" si="244"/>
        <v>-76.0044357514186</v>
      </c>
      <c r="AS265" t="str">
        <f t="shared" si="220"/>
        <v>-0,0000504684572142411</v>
      </c>
      <c r="AT265" t="str">
        <f t="shared" si="221"/>
        <v>0,00416661085323027i</v>
      </c>
      <c r="AU265">
        <f t="shared" si="245"/>
        <v>0.00416661085323027</v>
      </c>
      <c r="AV265">
        <f t="shared" si="246"/>
        <v>1.5707963267949</v>
      </c>
      <c r="AW265" t="str">
        <f t="shared" si="222"/>
        <v>1+0,213322833363939i</v>
      </c>
      <c r="AX265">
        <f t="shared" si="247"/>
        <v>1.02250018642268</v>
      </c>
      <c r="AY265">
        <f t="shared" si="248"/>
        <v>0.210172543735051</v>
      </c>
      <c r="AZ265" t="str">
        <f t="shared" si="223"/>
        <v>1+10,1986469482717i</v>
      </c>
      <c r="BA265">
        <f t="shared" si="249"/>
        <v>10.2475557854296</v>
      </c>
      <c r="BB265">
        <f t="shared" si="250"/>
        <v>1.47305653644372</v>
      </c>
      <c r="BC265" s="30" t="str">
        <f t="shared" si="251"/>
        <v>-0,115683777798896+0,0367905832366144i</v>
      </c>
      <c r="BD265" s="32">
        <f t="shared" si="252"/>
        <v>-18.3161203316784</v>
      </c>
      <c r="BE265" s="31">
        <f t="shared" si="253"/>
        <v>162.357922796837</v>
      </c>
      <c r="BF265" s="30" t="str">
        <f t="shared" si="254"/>
        <v>0,0639963871880235+0,178091628448505i</v>
      </c>
      <c r="BG265" s="68">
        <f t="shared" si="255"/>
        <v>-14.4596941477069</v>
      </c>
      <c r="BH265" s="31">
        <f t="shared" si="256"/>
        <v>70.2343390883211</v>
      </c>
      <c r="BI265" s="30" t="str">
        <f t="shared" si="263"/>
        <v>0,0652611541052634+1,02403003425853i</v>
      </c>
      <c r="BJ265" s="68">
        <f t="shared" si="257"/>
        <v>0.223856941080194</v>
      </c>
      <c r="BK265" s="31">
        <f t="shared" si="264"/>
        <v>86.3534870454182</v>
      </c>
      <c r="BL265" s="32">
        <f t="shared" si="258"/>
        <v>-14.4596941477069</v>
      </c>
      <c r="BM265" s="31">
        <f t="shared" si="259"/>
        <v>70.2343390883211</v>
      </c>
      <c r="BO265">
        <f t="shared" si="260"/>
        <v>0</v>
      </c>
      <c r="BP265">
        <f t="shared" si="261"/>
        <v>0</v>
      </c>
    </row>
    <row r="266" spans="14:68">
      <c r="N266" s="7">
        <v>48</v>
      </c>
      <c r="O266" s="18">
        <f t="shared" si="262"/>
        <v>3019.95172040202</v>
      </c>
      <c r="P266" s="86" t="str">
        <f t="shared" si="212"/>
        <v>163,636363636364</v>
      </c>
      <c r="Q266" s="4" t="str">
        <f t="shared" si="213"/>
        <v>1+115,919488534824i</v>
      </c>
      <c r="R266" s="4">
        <f t="shared" si="224"/>
        <v>115.92380179314</v>
      </c>
      <c r="S266" s="4">
        <f t="shared" si="225"/>
        <v>1.56216986365891</v>
      </c>
      <c r="T266" s="4" t="str">
        <f t="shared" si="214"/>
        <v>1+0,29752668723938i</v>
      </c>
      <c r="U266" s="4">
        <f t="shared" si="226"/>
        <v>1.04332263927303</v>
      </c>
      <c r="V266" s="4">
        <f t="shared" si="227"/>
        <v>0.289186158415539</v>
      </c>
      <c r="W266" t="str">
        <f t="shared" si="215"/>
        <v>1-0,284623744170326i</v>
      </c>
      <c r="X266" s="4">
        <f t="shared" si="228"/>
        <v>1.03971663242709</v>
      </c>
      <c r="Y266" s="4">
        <f t="shared" si="229"/>
        <v>-0.277291132301327</v>
      </c>
      <c r="Z266" t="str">
        <f t="shared" si="216"/>
        <v>0,999925550135563+0,0589577755781389i</v>
      </c>
      <c r="AA266" s="4">
        <f t="shared" si="230"/>
        <v>1.00166218113445</v>
      </c>
      <c r="AB266" s="4">
        <f t="shared" si="231"/>
        <v>0.0588939794288429</v>
      </c>
      <c r="AC266" s="67" t="str">
        <f t="shared" si="232"/>
        <v>-0,0586452644925685-1,52756512177249i</v>
      </c>
      <c r="AD266" s="68">
        <f t="shared" si="233"/>
        <v>3.68639100552934</v>
      </c>
      <c r="AE266" s="31">
        <f t="shared" si="234"/>
        <v>-92.1985817366435</v>
      </c>
      <c r="AF266" s="32" t="str">
        <f t="shared" si="235"/>
        <v>748,315388573934</v>
      </c>
      <c r="AG266" s="32" t="str">
        <f t="shared" si="217"/>
        <v>1+94,4529165839303i</v>
      </c>
      <c r="AH266" s="32">
        <f t="shared" si="236"/>
        <v>94.4582100783775</v>
      </c>
      <c r="AI266" s="32">
        <f t="shared" si="237"/>
        <v>1.56020943678515</v>
      </c>
      <c r="AJ266" s="32" t="str">
        <f t="shared" si="218"/>
        <v>1+0,29752668723938i</v>
      </c>
      <c r="AK266" s="32">
        <f t="shared" si="238"/>
        <v>1.04332263927303</v>
      </c>
      <c r="AL266" s="32">
        <f t="shared" si="239"/>
        <v>0.289186158415539</v>
      </c>
      <c r="AM266" s="32" t="str">
        <f t="shared" si="219"/>
        <v>1-0,0507125968964836i</v>
      </c>
      <c r="AN266" s="32">
        <f t="shared" si="240"/>
        <v>1.00128505805489</v>
      </c>
      <c r="AO266" s="32">
        <f t="shared" si="241"/>
        <v>-0.0506691901867597</v>
      </c>
      <c r="AP266" s="30" t="str">
        <f t="shared" si="242"/>
        <v>2,04033242614177-8,02056652938971i</v>
      </c>
      <c r="AQ266" s="32">
        <f t="shared" si="243"/>
        <v>18.3564266243771</v>
      </c>
      <c r="AR266" s="31">
        <f t="shared" si="244"/>
        <v>-75.7274002625071</v>
      </c>
      <c r="AS266" t="str">
        <f t="shared" si="220"/>
        <v>-0,0000504684572142411</v>
      </c>
      <c r="AT266" t="str">
        <f t="shared" si="221"/>
        <v>0,00426366368767147i</v>
      </c>
      <c r="AU266">
        <f t="shared" si="245"/>
        <v>0.00426366368767147</v>
      </c>
      <c r="AV266">
        <f t="shared" si="246"/>
        <v>1.5707963267949</v>
      </c>
      <c r="AW266" t="str">
        <f t="shared" si="222"/>
        <v>1+0,218291760474794i</v>
      </c>
      <c r="AX266">
        <f t="shared" si="247"/>
        <v>1.02354838317062</v>
      </c>
      <c r="AY266">
        <f t="shared" si="248"/>
        <v>0.214920344491304</v>
      </c>
      <c r="AZ266" t="str">
        <f t="shared" si="223"/>
        <v>1+10,4362039529119i</v>
      </c>
      <c r="BA266">
        <f t="shared" si="249"/>
        <v>10.4840046235574</v>
      </c>
      <c r="BB266">
        <f t="shared" si="250"/>
        <v>1.47526769914293</v>
      </c>
      <c r="BC266" s="30" t="str">
        <f t="shared" si="251"/>
        <v>-0,115446959936741+0,037037995853418i</v>
      </c>
      <c r="BD266" s="32">
        <f t="shared" si="252"/>
        <v>-18.3268816943826</v>
      </c>
      <c r="BE266" s="31">
        <f t="shared" si="253"/>
        <v>162.212584142016</v>
      </c>
      <c r="BF266" s="30" t="str">
        <f t="shared" si="254"/>
        <v>0,0633483681463886+0,174180646350933i</v>
      </c>
      <c r="BG266" s="68">
        <f t="shared" si="255"/>
        <v>-14.6404906888533</v>
      </c>
      <c r="BH266" s="31">
        <f t="shared" si="256"/>
        <v>70.0140024053726</v>
      </c>
      <c r="BI266" s="30" t="str">
        <f t="shared" si="263"/>
        <v>0,0615155339991768+1,00151984672745i</v>
      </c>
      <c r="BJ266" s="68">
        <f t="shared" si="257"/>
        <v>0.0295449299944368</v>
      </c>
      <c r="BK266" s="31">
        <f t="shared" si="264"/>
        <v>86.485183879509</v>
      </c>
      <c r="BL266" s="32">
        <f t="shared" si="258"/>
        <v>-14.6404906888533</v>
      </c>
      <c r="BM266" s="31">
        <f t="shared" si="259"/>
        <v>70.0140024053726</v>
      </c>
      <c r="BO266">
        <f t="shared" si="260"/>
        <v>0</v>
      </c>
      <c r="BP266">
        <f t="shared" si="261"/>
        <v>0</v>
      </c>
    </row>
    <row r="267" spans="14:68">
      <c r="N267" s="7">
        <v>49</v>
      </c>
      <c r="O267" s="18">
        <f t="shared" si="262"/>
        <v>3090.29543251359</v>
      </c>
      <c r="P267" s="86" t="str">
        <f t="shared" si="212"/>
        <v>163,636363636364</v>
      </c>
      <c r="Q267" s="4" t="str">
        <f t="shared" si="213"/>
        <v>1+118,619600286454i</v>
      </c>
      <c r="R267" s="4">
        <f t="shared" si="224"/>
        <v>118.623815366553</v>
      </c>
      <c r="S267" s="4">
        <f t="shared" si="225"/>
        <v>1.56236621652178</v>
      </c>
      <c r="T267" s="4" t="str">
        <f t="shared" si="214"/>
        <v>1+0,304456974068565i</v>
      </c>
      <c r="U267" s="4">
        <f t="shared" si="226"/>
        <v>1.04532007015028</v>
      </c>
      <c r="V267" s="4">
        <f t="shared" si="227"/>
        <v>0.295540729058418</v>
      </c>
      <c r="W267" t="str">
        <f t="shared" si="215"/>
        <v>1-0,291253482846204i</v>
      </c>
      <c r="X267" s="4">
        <f t="shared" si="228"/>
        <v>1.04155105072677</v>
      </c>
      <c r="Y267" s="4">
        <f t="shared" si="229"/>
        <v>-0.283413276721091</v>
      </c>
      <c r="Z267" t="str">
        <f t="shared" si="216"/>
        <v>0,999922041421549+0,0603310785895709i</v>
      </c>
      <c r="AA267" s="4">
        <f t="shared" si="230"/>
        <v>1.00174044940015</v>
      </c>
      <c r="AB267" s="4">
        <f t="shared" si="231"/>
        <v>0.0602627261936233</v>
      </c>
      <c r="AC267" s="67" t="str">
        <f t="shared" si="232"/>
        <v>-0,0595134934373255-1,4980977394587i</v>
      </c>
      <c r="AD267" s="68">
        <f t="shared" si="233"/>
        <v>3.5176514261368</v>
      </c>
      <c r="AE267" s="31">
        <f t="shared" si="234"/>
        <v>-92.2749382981926</v>
      </c>
      <c r="AF267" s="32" t="str">
        <f t="shared" si="235"/>
        <v>748,315388573934</v>
      </c>
      <c r="AG267" s="32" t="str">
        <f t="shared" si="217"/>
        <v>1+96,6530076408145i</v>
      </c>
      <c r="AH267" s="32">
        <f t="shared" si="236"/>
        <v>96.658180647141</v>
      </c>
      <c r="AI267" s="32">
        <f t="shared" si="237"/>
        <v>1.5604504064268</v>
      </c>
      <c r="AJ267" s="32" t="str">
        <f t="shared" si="218"/>
        <v>1+0,304456974068565i</v>
      </c>
      <c r="AK267" s="32">
        <f t="shared" si="238"/>
        <v>1.04532007015028</v>
      </c>
      <c r="AL267" s="32">
        <f t="shared" si="239"/>
        <v>0.295540729058418</v>
      </c>
      <c r="AM267" s="32" t="str">
        <f t="shared" si="219"/>
        <v>1-0,0518938450245303i</v>
      </c>
      <c r="AN267" s="32">
        <f t="shared" si="240"/>
        <v>1.00134558028257</v>
      </c>
      <c r="AO267" s="32">
        <f t="shared" si="241"/>
        <v>-0.0518473372719933</v>
      </c>
      <c r="AP267" s="30" t="str">
        <f t="shared" si="242"/>
        <v>2,03656793956236-7,84354057352379i</v>
      </c>
      <c r="AQ267" s="32">
        <f t="shared" si="243"/>
        <v>18.1735866826303</v>
      </c>
      <c r="AR267" s="31">
        <f t="shared" si="244"/>
        <v>-75.4446195831392</v>
      </c>
      <c r="AS267" t="str">
        <f t="shared" si="220"/>
        <v>-0,0000504684572142411</v>
      </c>
      <c r="AT267" t="str">
        <f t="shared" si="221"/>
        <v>0,00436297717303613i</v>
      </c>
      <c r="AU267">
        <f t="shared" si="245"/>
        <v>0.00436297717303613</v>
      </c>
      <c r="AV267">
        <f t="shared" si="246"/>
        <v>1.5707963267949</v>
      </c>
      <c r="AW267" t="str">
        <f t="shared" si="222"/>
        <v>1+0,223376428766485i</v>
      </c>
      <c r="AX267">
        <f t="shared" si="247"/>
        <v>1.02464483062594</v>
      </c>
      <c r="AY267">
        <f t="shared" si="248"/>
        <v>0.219768567603031</v>
      </c>
      <c r="AZ267" t="str">
        <f t="shared" si="223"/>
        <v>1+10,6792943710275i</v>
      </c>
      <c r="BA267">
        <f t="shared" si="249"/>
        <v>10.7260117594127</v>
      </c>
      <c r="BB267">
        <f t="shared" si="250"/>
        <v>1.47742943539804</v>
      </c>
      <c r="BC267" s="30" t="str">
        <f t="shared" si="251"/>
        <v>-0,11520001817553+0,0373004041944924i</v>
      </c>
      <c r="BD267" s="32">
        <f t="shared" si="252"/>
        <v>-18.337959930419</v>
      </c>
      <c r="BE267" s="31">
        <f t="shared" si="253"/>
        <v>162.058659783415</v>
      </c>
      <c r="BF267" s="30" t="str">
        <f t="shared" si="254"/>
        <v>0,0627356067303341+0,170361009454124i</v>
      </c>
      <c r="BG267" s="68">
        <f t="shared" si="255"/>
        <v>-14.8203085042822</v>
      </c>
      <c r="BH267" s="31">
        <f t="shared" si="256"/>
        <v>69.7837214852219</v>
      </c>
      <c r="BI267" s="30" t="str">
        <f t="shared" si="263"/>
        <v>0,0579545700550525+0,979540823945668i</v>
      </c>
      <c r="BJ267" s="68">
        <f t="shared" si="257"/>
        <v>-0.164373247788758</v>
      </c>
      <c r="BK267" s="31">
        <f t="shared" si="264"/>
        <v>86.6140402002753</v>
      </c>
      <c r="BL267" s="32">
        <f t="shared" si="258"/>
        <v>-14.8203085042822</v>
      </c>
      <c r="BM267" s="31">
        <f t="shared" si="259"/>
        <v>69.7837214852219</v>
      </c>
      <c r="BO267">
        <f t="shared" si="260"/>
        <v>0</v>
      </c>
      <c r="BP267">
        <f t="shared" si="261"/>
        <v>0</v>
      </c>
    </row>
    <row r="268" spans="14:68">
      <c r="N268" s="7">
        <v>50</v>
      </c>
      <c r="O268" s="18">
        <f t="shared" si="262"/>
        <v>3162.27766016838</v>
      </c>
      <c r="P268" s="86" t="str">
        <f t="shared" si="212"/>
        <v>163,636363636364</v>
      </c>
      <c r="Q268" s="4" t="str">
        <f t="shared" si="213"/>
        <v>1+121,382605720272i</v>
      </c>
      <c r="R268" s="4">
        <f t="shared" si="224"/>
        <v>121.386724856728</v>
      </c>
      <c r="S268" s="4">
        <f t="shared" si="225"/>
        <v>1.56255810047595</v>
      </c>
      <c r="T268" s="4" t="str">
        <f t="shared" si="214"/>
        <v>1+0,311548688015366i</v>
      </c>
      <c r="U268" s="4">
        <f t="shared" si="226"/>
        <v>1.04740755439518</v>
      </c>
      <c r="V268" s="4">
        <f t="shared" si="227"/>
        <v>0.302017958114375</v>
      </c>
      <c r="W268" t="str">
        <f t="shared" si="215"/>
        <v>1-0,298037647973883i</v>
      </c>
      <c r="X268" s="4">
        <f t="shared" si="228"/>
        <v>1.04346846603518</v>
      </c>
      <c r="Y268" s="4">
        <f t="shared" si="229"/>
        <v>-0.28965550059205</v>
      </c>
      <c r="Z268" t="str">
        <f t="shared" si="216"/>
        <v>0,999918367346939+0,0617363699374472i</v>
      </c>
      <c r="AA268" s="4">
        <f t="shared" si="230"/>
        <v>1.0018223997949</v>
      </c>
      <c r="AB268" s="4">
        <f t="shared" si="231"/>
        <v>0.0616631362157025</v>
      </c>
      <c r="AC268" s="67" t="str">
        <f t="shared" si="232"/>
        <v>-0,0603720259082766-1,46942247748155i</v>
      </c>
      <c r="AD268" s="68">
        <f t="shared" si="233"/>
        <v>3.35025838419874</v>
      </c>
      <c r="AE268" s="31">
        <f t="shared" si="234"/>
        <v>-92.352705217512</v>
      </c>
      <c r="AF268" s="32" t="str">
        <f t="shared" si="235"/>
        <v>748,315388573934</v>
      </c>
      <c r="AG268" s="32" t="str">
        <f t="shared" si="217"/>
        <v>1+98,9043454017035i</v>
      </c>
      <c r="AH268" s="32">
        <f t="shared" si="236"/>
        <v>98.9094006621184</v>
      </c>
      <c r="AI268" s="32">
        <f t="shared" si="237"/>
        <v>1.56068589209077</v>
      </c>
      <c r="AJ268" s="32" t="str">
        <f t="shared" si="218"/>
        <v>1+0,311548688015366i</v>
      </c>
      <c r="AK268" s="32">
        <f t="shared" si="238"/>
        <v>1.04740755439518</v>
      </c>
      <c r="AL268" s="32">
        <f t="shared" si="239"/>
        <v>0.302017958114375</v>
      </c>
      <c r="AM268" s="32" t="str">
        <f t="shared" si="219"/>
        <v>1-0,0531026079561053i</v>
      </c>
      <c r="AN268" s="32">
        <f t="shared" si="240"/>
        <v>1.00140895091453</v>
      </c>
      <c r="AO268" s="32">
        <f t="shared" si="241"/>
        <v>-0.0530527777874596</v>
      </c>
      <c r="AP268" s="30" t="str">
        <f t="shared" si="242"/>
        <v>2,03297284733532-7,67066986018086i</v>
      </c>
      <c r="AQ268" s="32">
        <f t="shared" si="243"/>
        <v>17.9914855369798</v>
      </c>
      <c r="AR268" s="31">
        <f t="shared" si="244"/>
        <v>-75.1560606839654</v>
      </c>
      <c r="AS268" t="str">
        <f t="shared" si="220"/>
        <v>-0,0000504684572142411</v>
      </c>
      <c r="AT268" t="str">
        <f t="shared" si="221"/>
        <v>0,00446460396664877i</v>
      </c>
      <c r="AU268">
        <f t="shared" si="245"/>
        <v>0.00446460396664877</v>
      </c>
      <c r="AV268">
        <f t="shared" si="246"/>
        <v>1.5707963267949</v>
      </c>
      <c r="AW268" t="str">
        <f t="shared" si="222"/>
        <v>1+0,228579534197445i</v>
      </c>
      <c r="AX268">
        <f t="shared" si="247"/>
        <v>1.0257916959373</v>
      </c>
      <c r="AY268">
        <f t="shared" si="248"/>
        <v>0.224718871575533</v>
      </c>
      <c r="AZ268" t="str">
        <f t="shared" si="223"/>
        <v>1+10,9280470923757i</v>
      </c>
      <c r="BA268">
        <f t="shared" si="249"/>
        <v>10.9737055388406</v>
      </c>
      <c r="BB268">
        <f t="shared" si="250"/>
        <v>1.47954281052954</v>
      </c>
      <c r="BC268" s="30" t="str">
        <f t="shared" si="251"/>
        <v>-0,114942568151662+0,0375776472488547i</v>
      </c>
      <c r="BD268" s="32">
        <f t="shared" si="252"/>
        <v>-18.349375769772</v>
      </c>
      <c r="BE268" s="31">
        <f t="shared" si="253"/>
        <v>161.896115734046</v>
      </c>
      <c r="BF268" s="30" t="str">
        <f t="shared" si="254"/>
        <v>0,0621567552207558+0,166630554568227i</v>
      </c>
      <c r="BG268" s="68">
        <f t="shared" si="255"/>
        <v>-14.9991173855732</v>
      </c>
      <c r="BH268" s="31">
        <f t="shared" si="256"/>
        <v>69.5434105165344</v>
      </c>
      <c r="BI268" s="30" t="str">
        <f t="shared" si="263"/>
        <v>0,0545706061129796+0,958080829696405i</v>
      </c>
      <c r="BJ268" s="68">
        <f t="shared" si="257"/>
        <v>-0.357890232792128</v>
      </c>
      <c r="BK268" s="31">
        <f t="shared" si="264"/>
        <v>86.740055050081</v>
      </c>
      <c r="BL268" s="32">
        <f t="shared" si="258"/>
        <v>-14.9991173855732</v>
      </c>
      <c r="BM268" s="31">
        <f t="shared" si="259"/>
        <v>69.5434105165344</v>
      </c>
      <c r="BO268">
        <f t="shared" si="260"/>
        <v>0</v>
      </c>
      <c r="BP268">
        <f t="shared" si="261"/>
        <v>0</v>
      </c>
    </row>
    <row r="269" spans="14:68">
      <c r="N269" s="7">
        <v>51</v>
      </c>
      <c r="O269" s="18">
        <f t="shared" si="262"/>
        <v>3235.93656929628</v>
      </c>
      <c r="P269" s="86" t="str">
        <f t="shared" si="212"/>
        <v>163,636363636364</v>
      </c>
      <c r="Q269" s="4" t="str">
        <f t="shared" si="213"/>
        <v>1+124,209969818333i</v>
      </c>
      <c r="R269" s="4">
        <f t="shared" si="224"/>
        <v>124.21399519487</v>
      </c>
      <c r="S269" s="4">
        <f t="shared" si="225"/>
        <v>1.56274561720429</v>
      </c>
      <c r="T269" s="4" t="str">
        <f t="shared" si="214"/>
        <v>1+0,318805589200387i</v>
      </c>
      <c r="U269" s="4">
        <f t="shared" si="226"/>
        <v>1.04958896893279</v>
      </c>
      <c r="V269" s="4">
        <f t="shared" si="227"/>
        <v>0.308619105112336</v>
      </c>
      <c r="W269" t="str">
        <f t="shared" si="215"/>
        <v>1-0,304979836607513i</v>
      </c>
      <c r="X269" s="4">
        <f t="shared" si="228"/>
        <v>1.04547247727386</v>
      </c>
      <c r="Y269" s="4">
        <f t="shared" si="229"/>
        <v>-0.296019167041465</v>
      </c>
      <c r="Z269" t="str">
        <f t="shared" si="216"/>
        <v>0,999914520118526+0,0631743947258419i</v>
      </c>
      <c r="AA269" s="4">
        <f t="shared" si="230"/>
        <v>1.00190820522283</v>
      </c>
      <c r="AB269" s="4">
        <f t="shared" si="231"/>
        <v>0.0630959314446627</v>
      </c>
      <c r="AC269" s="67" t="str">
        <f t="shared" si="232"/>
        <v>-0,0612226673990769-1,44152403360703i</v>
      </c>
      <c r="AD269" s="68">
        <f t="shared" si="233"/>
        <v>3.18426435903636</v>
      </c>
      <c r="AE269" s="31">
        <f t="shared" si="234"/>
        <v>-92.4319356210118</v>
      </c>
      <c r="AF269" s="32" t="str">
        <f t="shared" si="235"/>
        <v>748,315388573934</v>
      </c>
      <c r="AG269" s="32" t="str">
        <f t="shared" si="217"/>
        <v>1+101,208123555678i</v>
      </c>
      <c r="AH269" s="32">
        <f t="shared" si="236"/>
        <v>101.213063749999</v>
      </c>
      <c r="AI269" s="32">
        <f t="shared" si="237"/>
        <v>1.56091601853017</v>
      </c>
      <c r="AJ269" s="32" t="str">
        <f t="shared" si="218"/>
        <v>1+0,318805589200387i</v>
      </c>
      <c r="AK269" s="32">
        <f t="shared" si="238"/>
        <v>1.04958896893279</v>
      </c>
      <c r="AL269" s="32">
        <f t="shared" si="239"/>
        <v>0.308619105112336</v>
      </c>
      <c r="AM269" s="32" t="str">
        <f t="shared" si="219"/>
        <v>1-0,0543395265933147i</v>
      </c>
      <c r="AN269" s="32">
        <f t="shared" si="240"/>
        <v>1.00147530381452</v>
      </c>
      <c r="AO269" s="32">
        <f t="shared" si="241"/>
        <v>-0.0542861368528489</v>
      </c>
      <c r="AP269" s="30" t="str">
        <f t="shared" si="242"/>
        <v>2,02953952857793-7,50186296501769i</v>
      </c>
      <c r="AQ269" s="32">
        <f t="shared" si="243"/>
        <v>17.8101521360335</v>
      </c>
      <c r="AR269" s="31">
        <f t="shared" si="244"/>
        <v>-74.8616943638397</v>
      </c>
      <c r="AS269" t="str">
        <f t="shared" si="220"/>
        <v>-0,0000504684572142411</v>
      </c>
      <c r="AT269" t="str">
        <f t="shared" si="221"/>
        <v>0,00456859795238054i</v>
      </c>
      <c r="AU269">
        <f t="shared" si="245"/>
        <v>0.00456859795238054</v>
      </c>
      <c r="AV269">
        <f t="shared" si="246"/>
        <v>1.5707963267949</v>
      </c>
      <c r="AW269" t="str">
        <f t="shared" si="222"/>
        <v>1+0,233903835523044i</v>
      </c>
      <c r="AX269">
        <f t="shared" si="247"/>
        <v>1.02699123865415</v>
      </c>
      <c r="AY269">
        <f t="shared" si="248"/>
        <v>0.229772910209199</v>
      </c>
      <c r="AZ269" t="str">
        <f t="shared" si="223"/>
        <v>1+11,1825940089421i</v>
      </c>
      <c r="BA269">
        <f t="shared" si="249"/>
        <v>11.2272173208159</v>
      </c>
      <c r="BB269">
        <f t="shared" si="250"/>
        <v>1.48160886952256</v>
      </c>
      <c r="BC269" s="30" t="str">
        <f t="shared" si="251"/>
        <v>-0,114674215330134+0,0378695539818755i</v>
      </c>
      <c r="BD269" s="32">
        <f t="shared" si="252"/>
        <v>-18.3611504267875</v>
      </c>
      <c r="BE269" s="31">
        <f t="shared" si="253"/>
        <v>161.724917111366</v>
      </c>
      <c r="BF269" s="30" t="str">
        <f t="shared" si="254"/>
        <v>0,0616105335512592+0,162987162325432i</v>
      </c>
      <c r="BG269" s="68">
        <f t="shared" si="255"/>
        <v>-15.1768860677512</v>
      </c>
      <c r="BH269" s="31">
        <f t="shared" si="256"/>
        <v>69.2929814903545</v>
      </c>
      <c r="BI269" s="30" t="str">
        <f t="shared" si="263"/>
        <v>0,0513563515972058+0,937128005763428i</v>
      </c>
      <c r="BJ269" s="68">
        <f t="shared" si="257"/>
        <v>-0.550998290754029</v>
      </c>
      <c r="BK269" s="31">
        <f t="shared" si="264"/>
        <v>86.8632227475265</v>
      </c>
      <c r="BL269" s="32">
        <f t="shared" si="258"/>
        <v>-15.1768860677512</v>
      </c>
      <c r="BM269" s="31">
        <f t="shared" si="259"/>
        <v>69.2929814903545</v>
      </c>
      <c r="BO269">
        <f t="shared" si="260"/>
        <v>0</v>
      </c>
      <c r="BP269">
        <f t="shared" si="261"/>
        <v>0</v>
      </c>
    </row>
    <row r="270" spans="14:68">
      <c r="N270" s="7">
        <v>52</v>
      </c>
      <c r="O270" s="18">
        <f t="shared" si="262"/>
        <v>3311.31121482591</v>
      </c>
      <c r="P270" s="86" t="str">
        <f t="shared" si="212"/>
        <v>163,636363636364</v>
      </c>
      <c r="Q270" s="4" t="str">
        <f t="shared" si="213"/>
        <v>1+127,103191686503i</v>
      </c>
      <c r="R270" s="4">
        <f t="shared" si="224"/>
        <v>127.107125437152</v>
      </c>
      <c r="S270" s="4">
        <f t="shared" si="225"/>
        <v>1.56292886607787</v>
      </c>
      <c r="T270" s="4" t="str">
        <f t="shared" si="214"/>
        <v>1+0,326231525328692i</v>
      </c>
      <c r="U270" s="4">
        <f t="shared" si="226"/>
        <v>1.05186834162755</v>
      </c>
      <c r="V270" s="4">
        <f t="shared" si="227"/>
        <v>0.315345368080178</v>
      </c>
      <c r="W270" t="str">
        <f t="shared" si="215"/>
        <v>1-0,312083729587397i</v>
      </c>
      <c r="X270" s="4">
        <f t="shared" si="228"/>
        <v>1.04756682568377</v>
      </c>
      <c r="Y270" s="4">
        <f t="shared" si="229"/>
        <v>-0.30250558776579</v>
      </c>
      <c r="Z270" t="str">
        <f t="shared" si="216"/>
        <v>0,999910491575825+0,0646459154145321i</v>
      </c>
      <c r="AA270" s="4">
        <f t="shared" si="230"/>
        <v>1.00199804667633</v>
      </c>
      <c r="AB270" s="4">
        <f t="shared" si="231"/>
        <v>0.0645618495413305</v>
      </c>
      <c r="AC270" s="67" t="str">
        <f t="shared" si="232"/>
        <v>-0,0620672052600323-1,4143875067291i</v>
      </c>
      <c r="AD270" s="68">
        <f t="shared" si="233"/>
        <v>3.01972337737507</v>
      </c>
      <c r="AE270" s="31">
        <f t="shared" si="234"/>
        <v>-92.5126839798167</v>
      </c>
      <c r="AF270" s="32" t="str">
        <f t="shared" si="235"/>
        <v>748,315388573934</v>
      </c>
      <c r="AG270" s="32" t="str">
        <f t="shared" si="217"/>
        <v>1+103,56556359641i</v>
      </c>
      <c r="AH270" s="32">
        <f t="shared" si="236"/>
        <v>103.570391343482</v>
      </c>
      <c r="AI270" s="32">
        <f t="shared" si="237"/>
        <v>1.56114090766352</v>
      </c>
      <c r="AJ270" s="32" t="str">
        <f t="shared" si="218"/>
        <v>1+0,326231525328692i</v>
      </c>
      <c r="AK270" s="32">
        <f t="shared" si="238"/>
        <v>1.05186834162755</v>
      </c>
      <c r="AL270" s="32">
        <f t="shared" si="239"/>
        <v>0.315345368080178</v>
      </c>
      <c r="AM270" s="32" t="str">
        <f t="shared" si="219"/>
        <v>1-0,0556052567667926i</v>
      </c>
      <c r="AN270" s="32">
        <f t="shared" si="240"/>
        <v>1.00154477911879</v>
      </c>
      <c r="AO270" s="32">
        <f t="shared" si="241"/>
        <v>-0.0555480533937192</v>
      </c>
      <c r="AP270" s="30" t="str">
        <f t="shared" si="242"/>
        <v>2,02626070512935-7,33703060276799i</v>
      </c>
      <c r="AQ270" s="32">
        <f t="shared" si="243"/>
        <v>17.6296162929406</v>
      </c>
      <c r="AR270" s="31">
        <f t="shared" si="244"/>
        <v>-74.5614955739759</v>
      </c>
      <c r="AS270" t="str">
        <f t="shared" si="220"/>
        <v>-0,0000504684572142411</v>
      </c>
      <c r="AT270" t="str">
        <f t="shared" si="221"/>
        <v>0,00467501426921921i</v>
      </c>
      <c r="AU270">
        <f t="shared" si="245"/>
        <v>0.00467501426921921</v>
      </c>
      <c r="AV270">
        <f t="shared" si="246"/>
        <v>1.5707963267949</v>
      </c>
      <c r="AW270" t="str">
        <f t="shared" si="222"/>
        <v>1+0,239352155758321i</v>
      </c>
      <c r="AX270">
        <f t="shared" si="247"/>
        <v>1.02824581422253</v>
      </c>
      <c r="AY270">
        <f t="shared" si="248"/>
        <v>0.234932329986025</v>
      </c>
      <c r="AZ270" t="str">
        <f t="shared" si="223"/>
        <v>1+11,4430700848712i</v>
      </c>
      <c r="BA270">
        <f t="shared" si="249"/>
        <v>11.4866815472213</v>
      </c>
      <c r="BB270">
        <f t="shared" si="250"/>
        <v>1.48362863723645</v>
      </c>
      <c r="BC270" s="30" t="str">
        <f t="shared" si="251"/>
        <v>-0,114394555156197+0,0381759423511146i</v>
      </c>
      <c r="BD270" s="32">
        <f t="shared" si="252"/>
        <v>-18.3733056235725</v>
      </c>
      <c r="BE270" s="31">
        <f t="shared" si="253"/>
        <v>161.545028299021</v>
      </c>
      <c r="BF270" s="30" t="str">
        <f t="shared" si="254"/>
        <v>0,0610957262545366+0,159428755600856i</v>
      </c>
      <c r="BG270" s="68">
        <f t="shared" si="255"/>
        <v>-15.3535822461974</v>
      </c>
      <c r="BH270" s="31">
        <f t="shared" si="256"/>
        <v>69.0323443192039</v>
      </c>
      <c r="BI270" s="30" t="str">
        <f t="shared" si="263"/>
        <v>0,0483048653258803+0,916670763838395i</v>
      </c>
      <c r="BJ270" s="68">
        <f t="shared" si="257"/>
        <v>-0.743689330631901</v>
      </c>
      <c r="BK270" s="31">
        <f t="shared" si="264"/>
        <v>86.9835327250447</v>
      </c>
      <c r="BL270" s="32">
        <f t="shared" si="258"/>
        <v>-15.3535822461974</v>
      </c>
      <c r="BM270" s="31">
        <f t="shared" si="259"/>
        <v>69.0323443192039</v>
      </c>
      <c r="BO270">
        <f t="shared" si="260"/>
        <v>0</v>
      </c>
      <c r="BP270">
        <f t="shared" si="261"/>
        <v>0</v>
      </c>
    </row>
    <row r="271" spans="14:68">
      <c r="N271" s="7">
        <v>53</v>
      </c>
      <c r="O271" s="18">
        <f t="shared" si="262"/>
        <v>3388.44156139203</v>
      </c>
      <c r="P271" s="86" t="str">
        <f t="shared" si="212"/>
        <v>163,636363636364</v>
      </c>
      <c r="Q271" s="4" t="str">
        <f t="shared" si="213"/>
        <v>1+130,063805349317i</v>
      </c>
      <c r="R271" s="4">
        <f t="shared" si="224"/>
        <v>130.067649559547</v>
      </c>
      <c r="S271" s="4">
        <f t="shared" si="225"/>
        <v>1.56310794420841</v>
      </c>
      <c r="T271" s="4" t="str">
        <f t="shared" si="214"/>
        <v>1+0,333830433729914i</v>
      </c>
      <c r="U271" s="4">
        <f t="shared" si="226"/>
        <v>1.05424985581422</v>
      </c>
      <c r="V271" s="4">
        <f t="shared" si="227"/>
        <v>0.3221978780143</v>
      </c>
      <c r="W271" t="str">
        <f t="shared" si="215"/>
        <v>1-0,319353093491627i</v>
      </c>
      <c r="X271" s="4">
        <f t="shared" si="228"/>
        <v>1.04975539928246</v>
      </c>
      <c r="Y271" s="4">
        <f t="shared" si="229"/>
        <v>-0.309116017897115</v>
      </c>
      <c r="Z271" t="str">
        <f t="shared" si="216"/>
        <v>0,999906273173755+0,0661517122232655i</v>
      </c>
      <c r="AA271" s="4">
        <f t="shared" si="230"/>
        <v>1.00209211361147</v>
      </c>
      <c r="AB271" s="4">
        <f t="shared" si="231"/>
        <v>0.0660616441658334</v>
      </c>
      <c r="AC271" s="67" t="str">
        <f t="shared" si="232"/>
        <v>-0,062907412347819-1,38799838846977i</v>
      </c>
      <c r="AD271" s="68">
        <f t="shared" si="233"/>
        <v>2.85669101577485</v>
      </c>
      <c r="AE271" s="31">
        <f t="shared" si="234"/>
        <v>-92.5950061520144</v>
      </c>
      <c r="AF271" s="32" t="str">
        <f t="shared" si="235"/>
        <v>748,315388573934</v>
      </c>
      <c r="AG271" s="32" t="str">
        <f t="shared" si="217"/>
        <v>1+105,977915469814i</v>
      </c>
      <c r="AH271" s="32">
        <f t="shared" si="236"/>
        <v>105.982633328895</v>
      </c>
      <c r="AI271" s="32">
        <f t="shared" si="237"/>
        <v>1.56136067863897</v>
      </c>
      <c r="AJ271" s="32" t="str">
        <f t="shared" si="218"/>
        <v>1+0,333830433729914i</v>
      </c>
      <c r="AK271" s="32">
        <f t="shared" si="238"/>
        <v>1.05424985581422</v>
      </c>
      <c r="AL271" s="32">
        <f t="shared" si="239"/>
        <v>0.3221978780143</v>
      </c>
      <c r="AM271" s="32" t="str">
        <f t="shared" si="219"/>
        <v>1-0,0569004695834311i</v>
      </c>
      <c r="AN271" s="32">
        <f t="shared" si="240"/>
        <v>1.00161752352823</v>
      </c>
      <c r="AO271" s="32">
        <f t="shared" si="241"/>
        <v>-0.0568391804096724</v>
      </c>
      <c r="AP271" s="30" t="str">
        <f t="shared" si="242"/>
        <v>2,02312942614969-7,17608558094387i</v>
      </c>
      <c r="AQ271" s="32">
        <f t="shared" si="243"/>
        <v>17.4499086887537</v>
      </c>
      <c r="AR271" s="31">
        <f t="shared" si="244"/>
        <v>-74.2554437538615</v>
      </c>
      <c r="AS271" t="str">
        <f t="shared" si="220"/>
        <v>-0,0000504684572142411</v>
      </c>
      <c r="AT271" t="str">
        <f t="shared" si="221"/>
        <v>0,00478390934050456i</v>
      </c>
      <c r="AU271">
        <f t="shared" si="245"/>
        <v>0.00478390934050456</v>
      </c>
      <c r="AV271">
        <f t="shared" si="246"/>
        <v>1.5707963267949</v>
      </c>
      <c r="AW271" t="str">
        <f t="shared" si="222"/>
        <v>1+0,244927383674783i</v>
      </c>
      <c r="AX271">
        <f t="shared" si="247"/>
        <v>1.02955787757356</v>
      </c>
      <c r="AY271">
        <f t="shared" si="248"/>
        <v>0.240198767279762</v>
      </c>
      <c r="AZ271" t="str">
        <f t="shared" si="223"/>
        <v>1+11,7096134280263i</v>
      </c>
      <c r="BA271">
        <f t="shared" si="249"/>
        <v>11.7522358142531</v>
      </c>
      <c r="BB271">
        <f t="shared" si="250"/>
        <v>1.48560311862576</v>
      </c>
      <c r="BC271" s="30" t="str">
        <f t="shared" si="251"/>
        <v>-0,114103173257565+0,0384966182915516i</v>
      </c>
      <c r="BD271" s="32">
        <f t="shared" si="252"/>
        <v>-18.3858636128402</v>
      </c>
      <c r="BE271" s="31">
        <f t="shared" si="253"/>
        <v>161.356413119354</v>
      </c>
      <c r="BF271" s="30" t="str">
        <f t="shared" si="254"/>
        <v>0,0606111795205178+0,155953297959924i</v>
      </c>
      <c r="BG271" s="68">
        <f t="shared" si="255"/>
        <v>-15.5291725970653</v>
      </c>
      <c r="BH271" s="31">
        <f t="shared" si="256"/>
        <v>68.7614069673391</v>
      </c>
      <c r="BI271" s="30" t="str">
        <f t="shared" si="263"/>
        <v>0,0454095400026674+0,896697777626443i</v>
      </c>
      <c r="BJ271" s="68">
        <f t="shared" si="257"/>
        <v>-0.935954924086478</v>
      </c>
      <c r="BK271" s="31">
        <f t="shared" si="264"/>
        <v>87.100969365492</v>
      </c>
      <c r="BL271" s="32">
        <f t="shared" si="258"/>
        <v>-15.5291725970653</v>
      </c>
      <c r="BM271" s="31">
        <f t="shared" si="259"/>
        <v>68.7614069673391</v>
      </c>
      <c r="BO271">
        <f t="shared" si="260"/>
        <v>0</v>
      </c>
      <c r="BP271">
        <f t="shared" si="261"/>
        <v>0</v>
      </c>
    </row>
    <row r="272" spans="14:68">
      <c r="N272" s="7">
        <v>54</v>
      </c>
      <c r="O272" s="18">
        <f t="shared" si="262"/>
        <v>3467.36850452532</v>
      </c>
      <c r="P272" s="86" t="str">
        <f t="shared" si="212"/>
        <v>163,636363636364</v>
      </c>
      <c r="Q272" s="4" t="str">
        <f t="shared" si="213"/>
        <v>1+133,093380563324i</v>
      </c>
      <c r="R272" s="4">
        <f t="shared" si="224"/>
        <v>133.097137271144</v>
      </c>
      <c r="S272" s="4">
        <f t="shared" si="225"/>
        <v>1.56328294649953</v>
      </c>
      <c r="T272" s="4" t="str">
        <f t="shared" si="214"/>
        <v>1+0,341606343445864i</v>
      </c>
      <c r="U272" s="4">
        <f t="shared" si="226"/>
        <v>1.05673785485448</v>
      </c>
      <c r="V272" s="4">
        <f t="shared" si="227"/>
        <v>0.329177693151505</v>
      </c>
      <c r="W272" t="str">
        <f t="shared" si="215"/>
        <v>1-0,326791782633161i</v>
      </c>
      <c r="X272" s="4">
        <f t="shared" si="228"/>
        <v>1.05204223736339</v>
      </c>
      <c r="Y272" s="4">
        <f t="shared" si="229"/>
        <v>-0.315851650661317</v>
      </c>
      <c r="Z272" t="str">
        <f t="shared" si="216"/>
        <v>0,999901855964521+0,0676925835454404i</v>
      </c>
      <c r="AA272" s="4">
        <f t="shared" si="230"/>
        <v>1.00219060434049</v>
      </c>
      <c r="AB272" s="4">
        <f t="shared" si="231"/>
        <v>0.067596085266925</v>
      </c>
      <c r="AC272" s="67" t="str">
        <f t="shared" si="232"/>
        <v>-0,0637450506317254-1,36234255493646i</v>
      </c>
      <c r="AD272" s="68">
        <f t="shared" si="233"/>
        <v>2.69522439862749</v>
      </c>
      <c r="AE272" s="31">
        <f t="shared" si="234"/>
        <v>-92.6789594243003</v>
      </c>
      <c r="AF272" s="32" t="str">
        <f t="shared" si="235"/>
        <v>748,315388573934</v>
      </c>
      <c r="AG272" s="32" t="str">
        <f t="shared" si="217"/>
        <v>1+108,446458236782i</v>
      </c>
      <c r="AH272" s="32">
        <f t="shared" si="236"/>
        <v>108.451068708898</v>
      </c>
      <c r="AI272" s="32">
        <f t="shared" si="237"/>
        <v>1.56157544789703</v>
      </c>
      <c r="AJ272" s="32" t="str">
        <f t="shared" si="218"/>
        <v>1+0,341606343445864i</v>
      </c>
      <c r="AK272" s="32">
        <f t="shared" si="238"/>
        <v>1.05673785485448</v>
      </c>
      <c r="AL272" s="32">
        <f t="shared" si="239"/>
        <v>0.329177693151505</v>
      </c>
      <c r="AM272" s="32" t="str">
        <f t="shared" si="219"/>
        <v>1-0,058225851782209i</v>
      </c>
      <c r="AN272" s="32">
        <f t="shared" si="240"/>
        <v>1.00169369061393</v>
      </c>
      <c r="AO272" s="32">
        <f t="shared" si="241"/>
        <v>-0.0581601852450306</v>
      </c>
      <c r="AP272" s="30" t="str">
        <f t="shared" si="242"/>
        <v>2,02013905341016-7,01894275457747i</v>
      </c>
      <c r="AQ272" s="32">
        <f t="shared" si="243"/>
        <v>17.271060873569</v>
      </c>
      <c r="AR272" s="31">
        <f t="shared" si="244"/>
        <v>-73.9435231785569</v>
      </c>
      <c r="AS272" t="str">
        <f t="shared" si="220"/>
        <v>-0,0000504684572142411</v>
      </c>
      <c r="AT272" t="str">
        <f t="shared" si="221"/>
        <v>0,00489534090384475i</v>
      </c>
      <c r="AU272">
        <f t="shared" si="245"/>
        <v>0.00489534090384475</v>
      </c>
      <c r="AV272">
        <f t="shared" si="246"/>
        <v>1.5707963267949</v>
      </c>
      <c r="AW272" t="str">
        <f t="shared" si="222"/>
        <v>1+0,250632475332064i</v>
      </c>
      <c r="AX272">
        <f t="shared" si="247"/>
        <v>1.0309299868037</v>
      </c>
      <c r="AY272">
        <f t="shared" si="248"/>
        <v>0.245573845383671</v>
      </c>
      <c r="AZ272" t="str">
        <f t="shared" si="223"/>
        <v>1+11,9823653632159i</v>
      </c>
      <c r="BA272">
        <f t="shared" si="249"/>
        <v>12.0240209454906</v>
      </c>
      <c r="BB272">
        <f t="shared" si="250"/>
        <v>1.48753329897113</v>
      </c>
      <c r="BC272" s="30" t="str">
        <f t="shared" si="251"/>
        <v>-0,113799645701585+0,0388313746714688i</v>
      </c>
      <c r="BD272" s="32">
        <f t="shared" si="252"/>
        <v>-18.3988472001263</v>
      </c>
      <c r="BE272" s="31">
        <f t="shared" si="253"/>
        <v>161.159035016935</v>
      </c>
      <c r="BF272" s="30" t="str">
        <f t="shared" si="254"/>
        <v>0,0601557983587437+0,152558792131429i</v>
      </c>
      <c r="BG272" s="68">
        <f t="shared" si="255"/>
        <v>-15.7036228014988</v>
      </c>
      <c r="BH272" s="31">
        <f t="shared" si="256"/>
        <v>68.4800755926351</v>
      </c>
      <c r="BI272" s="30" t="str">
        <f t="shared" si="263"/>
        <v>0,0426640873545775+0,877197975142059i</v>
      </c>
      <c r="BJ272" s="68">
        <f t="shared" si="257"/>
        <v>-1.12778632655729</v>
      </c>
      <c r="BK272" s="31">
        <f t="shared" si="264"/>
        <v>87.2155118383786</v>
      </c>
      <c r="BL272" s="32">
        <f t="shared" si="258"/>
        <v>-15.7036228014988</v>
      </c>
      <c r="BM272" s="31">
        <f t="shared" si="259"/>
        <v>68.4800755926351</v>
      </c>
      <c r="BO272">
        <f t="shared" si="260"/>
        <v>0</v>
      </c>
      <c r="BP272">
        <f t="shared" si="261"/>
        <v>0</v>
      </c>
    </row>
    <row r="273" spans="14:68">
      <c r="N273" s="7">
        <v>55</v>
      </c>
      <c r="O273" s="18">
        <f t="shared" si="262"/>
        <v>3548.13389233575</v>
      </c>
      <c r="P273" s="86" t="str">
        <f t="shared" si="212"/>
        <v>163,636363636364</v>
      </c>
      <c r="Q273" s="4" t="str">
        <f t="shared" si="213"/>
        <v>1+136,193523649405i</v>
      </c>
      <c r="R273" s="4">
        <f t="shared" si="224"/>
        <v>136.197194846447</v>
      </c>
      <c r="S273" s="4">
        <f t="shared" si="225"/>
        <v>1.56345396569687</v>
      </c>
      <c r="T273" s="4" t="str">
        <f t="shared" si="214"/>
        <v>1+0,349563377366805i</v>
      </c>
      <c r="U273" s="4">
        <f t="shared" si="226"/>
        <v>1.05933684670934</v>
      </c>
      <c r="V273" s="4">
        <f t="shared" si="227"/>
        <v>0.336285793051436</v>
      </c>
      <c r="W273" t="str">
        <f t="shared" si="215"/>
        <v>1-0,334403741103449i</v>
      </c>
      <c r="X273" s="4">
        <f t="shared" si="228"/>
        <v>1.05443153502918</v>
      </c>
      <c r="Y273" s="4">
        <f t="shared" si="229"/>
        <v>-0.322713611832663</v>
      </c>
      <c r="Z273" t="str">
        <f t="shared" si="216"/>
        <v>0,999897230578629+0,0692693463714286i</v>
      </c>
      <c r="AA273" s="4">
        <f t="shared" si="230"/>
        <v>1.00229372644227</v>
      </c>
      <c r="AB273" s="4">
        <f t="shared" si="231"/>
        <v>0.0691659593722502</v>
      </c>
      <c r="AC273" s="67" t="str">
        <f t="shared" si="232"/>
        <v>-0,0645818747627757-1,33740625862957i</v>
      </c>
      <c r="AD273" s="68">
        <f t="shared" si="233"/>
        <v>2.53538219132843</v>
      </c>
      <c r="AE273" s="31">
        <f t="shared" si="234"/>
        <v>-92.7646025528029</v>
      </c>
      <c r="AF273" s="32" t="str">
        <f t="shared" si="235"/>
        <v>748,315388573934</v>
      </c>
      <c r="AG273" s="32" t="str">
        <f t="shared" si="217"/>
        <v>1+110,972500751367i</v>
      </c>
      <c r="AH273" s="32">
        <f t="shared" si="236"/>
        <v>110.977006280635</v>
      </c>
      <c r="AI273" s="32">
        <f t="shared" si="237"/>
        <v>1.56178532923192</v>
      </c>
      <c r="AJ273" s="32" t="str">
        <f t="shared" si="218"/>
        <v>1+0,349563377366805i</v>
      </c>
      <c r="AK273" s="32">
        <f t="shared" si="238"/>
        <v>1.05933684670934</v>
      </c>
      <c r="AL273" s="32">
        <f t="shared" si="239"/>
        <v>0.336285793051436</v>
      </c>
      <c r="AM273" s="32" t="str">
        <f t="shared" si="219"/>
        <v>1-0,0595821060983123i</v>
      </c>
      <c r="AN273" s="32">
        <f t="shared" si="240"/>
        <v>1.00177344113682</v>
      </c>
      <c r="AO273" s="32">
        <f t="shared" si="241"/>
        <v>-0.0595117498618142</v>
      </c>
      <c r="AP273" s="30" t="str">
        <f t="shared" si="242"/>
        <v>2,0172832472433-6,86551898198265i</v>
      </c>
      <c r="AQ273" s="32">
        <f t="shared" si="243"/>
        <v>17.0931052652518</v>
      </c>
      <c r="AR273" s="31">
        <f t="shared" si="244"/>
        <v>-73.6257233169021</v>
      </c>
      <c r="AS273" t="str">
        <f t="shared" si="220"/>
        <v>-0,0000504684572142411</v>
      </c>
      <c r="AT273" t="str">
        <f t="shared" si="221"/>
        <v>0,00500936804172966i</v>
      </c>
      <c r="AU273">
        <f t="shared" si="245"/>
        <v>0.00500936804172966</v>
      </c>
      <c r="AV273">
        <f t="shared" si="246"/>
        <v>1.5707963267949</v>
      </c>
      <c r="AW273" t="str">
        <f t="shared" si="222"/>
        <v>1+0,25647045564528i</v>
      </c>
      <c r="AX273">
        <f t="shared" si="247"/>
        <v>1.03236480694515</v>
      </c>
      <c r="AY273">
        <f t="shared" si="248"/>
        <v>0.251059171350155</v>
      </c>
      <c r="AZ273" t="str">
        <f t="shared" si="223"/>
        <v>1+12,2614705071264i</v>
      </c>
      <c r="BA273">
        <f t="shared" si="249"/>
        <v>12.3021810666699</v>
      </c>
      <c r="BB273">
        <f t="shared" si="250"/>
        <v>1.48942014411918</v>
      </c>
      <c r="BC273" s="30" t="str">
        <f t="shared" si="251"/>
        <v>-0,113483539311982+0,0391799902206169i</v>
      </c>
      <c r="BD273" s="32">
        <f t="shared" si="252"/>
        <v>-18.4122797652879</v>
      </c>
      <c r="BE273" s="31">
        <f t="shared" si="253"/>
        <v>160.95285725338</v>
      </c>
      <c r="BF273" s="30" t="str">
        <f t="shared" si="254"/>
        <v>0,0597285438575813+0,149243278505645i</v>
      </c>
      <c r="BG273" s="68">
        <f t="shared" si="255"/>
        <v>-15.8768975739594</v>
      </c>
      <c r="BH273" s="31">
        <f t="shared" si="256"/>
        <v>68.1882547005773</v>
      </c>
      <c r="BI273" s="30" t="str">
        <f t="shared" si="263"/>
        <v>0,0400625238816021+0,858160531188193i</v>
      </c>
      <c r="BJ273" s="68">
        <f t="shared" si="257"/>
        <v>-1.31917450003612</v>
      </c>
      <c r="BK273" s="31">
        <f t="shared" si="264"/>
        <v>87.3271339364781</v>
      </c>
      <c r="BL273" s="32">
        <f t="shared" si="258"/>
        <v>-15.8768975739594</v>
      </c>
      <c r="BM273" s="31">
        <f t="shared" si="259"/>
        <v>68.1882547005773</v>
      </c>
      <c r="BO273">
        <f t="shared" si="260"/>
        <v>0</v>
      </c>
      <c r="BP273">
        <f t="shared" si="261"/>
        <v>0</v>
      </c>
    </row>
    <row r="274" spans="14:68">
      <c r="N274" s="7">
        <v>56</v>
      </c>
      <c r="O274" s="18">
        <f t="shared" si="262"/>
        <v>3630.78054770102</v>
      </c>
      <c r="P274" s="86" t="str">
        <f t="shared" si="212"/>
        <v>163,636363636364</v>
      </c>
      <c r="Q274" s="4" t="str">
        <f t="shared" si="213"/>
        <v>1+139,365878344459i</v>
      </c>
      <c r="R274" s="4">
        <f t="shared" si="224"/>
        <v>139.36946597703</v>
      </c>
      <c r="S274" s="4">
        <f t="shared" si="225"/>
        <v>1.56362109243703</v>
      </c>
      <c r="T274" s="4" t="str">
        <f t="shared" si="214"/>
        <v>1+0,357705754417445i</v>
      </c>
      <c r="U274" s="4">
        <f t="shared" si="226"/>
        <v>1.06205150851706</v>
      </c>
      <c r="V274" s="4">
        <f t="shared" si="227"/>
        <v>0.343523072499667</v>
      </c>
      <c r="W274" t="str">
        <f t="shared" si="215"/>
        <v>1-0,342193004863628i</v>
      </c>
      <c r="X274" s="4">
        <f t="shared" si="228"/>
        <v>1.05692764774965</v>
      </c>
      <c r="Y274" s="4">
        <f t="shared" si="229"/>
        <v>-0.329702953991272</v>
      </c>
      <c r="Z274" t="str">
        <f t="shared" si="216"/>
        <v>0,999892387205016+0,0708828367217514i</v>
      </c>
      <c r="AA274" s="4">
        <f t="shared" si="230"/>
        <v>1.00240169719143</v>
      </c>
      <c r="AB274" s="4">
        <f t="shared" si="231"/>
        <v>0.0707720698791593</v>
      </c>
      <c r="AC274" s="67" t="str">
        <f t="shared" si="232"/>
        <v>-0,065419635611991-1,31317612049386i</v>
      </c>
      <c r="AD274" s="68">
        <f t="shared" si="233"/>
        <v>2.37722458822551</v>
      </c>
      <c r="AE274" s="31">
        <f t="shared" si="234"/>
        <v>-92.8519958028559</v>
      </c>
      <c r="AF274" s="32" t="str">
        <f t="shared" si="235"/>
        <v>748,315388573934</v>
      </c>
      <c r="AG274" s="32" t="str">
        <f t="shared" si="217"/>
        <v>1+113,557382354745i</v>
      </c>
      <c r="AH274" s="32">
        <f t="shared" si="236"/>
        <v>113.561785329669</v>
      </c>
      <c r="AI274" s="32">
        <f t="shared" si="237"/>
        <v>1.56199043385149</v>
      </c>
      <c r="AJ274" s="32" t="str">
        <f t="shared" si="218"/>
        <v>1+0,357705754417445i</v>
      </c>
      <c r="AK274" s="32">
        <f t="shared" si="238"/>
        <v>1.06205150851706</v>
      </c>
      <c r="AL274" s="32">
        <f t="shared" si="239"/>
        <v>0.343523072499667</v>
      </c>
      <c r="AM274" s="32" t="str">
        <f t="shared" si="219"/>
        <v>1-0,0609699516357316i</v>
      </c>
      <c r="AN274" s="32">
        <f t="shared" si="240"/>
        <v>1.00185694338187</v>
      </c>
      <c r="AO274" s="32">
        <f t="shared" si="241"/>
        <v>-0.0608945711147908</v>
      </c>
      <c r="AP274" s="30" t="str">
        <f t="shared" si="242"/>
        <v>2,01455595312387-6,71573308151965i</v>
      </c>
      <c r="AQ274" s="32">
        <f t="shared" si="243"/>
        <v>16.9160751455515</v>
      </c>
      <c r="AR274" s="31">
        <f t="shared" si="244"/>
        <v>-73.302039200038</v>
      </c>
      <c r="AS274" t="str">
        <f t="shared" si="220"/>
        <v>-0,0000504684572142411</v>
      </c>
      <c r="AT274" t="str">
        <f t="shared" si="221"/>
        <v>0,00512605121285714i</v>
      </c>
      <c r="AU274">
        <f t="shared" si="245"/>
        <v>0.00512605121285714</v>
      </c>
      <c r="AV274">
        <f t="shared" si="246"/>
        <v>1.5707963267949</v>
      </c>
      <c r="AW274" t="str">
        <f t="shared" si="222"/>
        <v>1+0,262444419988867i</v>
      </c>
      <c r="AX274">
        <f t="shared" si="247"/>
        <v>1.03386511382447</v>
      </c>
      <c r="AY274">
        <f t="shared" si="248"/>
        <v>0.256656332636836</v>
      </c>
      <c r="AZ274" t="str">
        <f t="shared" si="223"/>
        <v>1+12,5470768449997i</v>
      </c>
      <c r="BA274">
        <f t="shared" si="249"/>
        <v>12.5868636822017</v>
      </c>
      <c r="BB274">
        <f t="shared" si="250"/>
        <v>1.49126460073012</v>
      </c>
      <c r="BC274" s="30" t="str">
        <f t="shared" si="251"/>
        <v>-0,113154412049956+0,0395422284326976i</v>
      </c>
      <c r="BD274" s="32">
        <f t="shared" si="252"/>
        <v>-18.4261852831892</v>
      </c>
      <c r="BE274" s="31">
        <f t="shared" si="253"/>
        <v>160.737843113702</v>
      </c>
      <c r="BF274" s="30" t="str">
        <f t="shared" si="254"/>
        <v>0,059328430533129+0,146004833657172i</v>
      </c>
      <c r="BG274" s="68">
        <f t="shared" si="255"/>
        <v>-16.0489606949637</v>
      </c>
      <c r="BH274" s="31">
        <f t="shared" si="256"/>
        <v>67.8858473108457</v>
      </c>
      <c r="BI274" s="30" t="str">
        <f t="shared" si="263"/>
        <v>0,0375991571850039+0,83957486001267i</v>
      </c>
      <c r="BJ274" s="68">
        <f t="shared" si="257"/>
        <v>-1.51011013763766</v>
      </c>
      <c r="BK274" s="31">
        <f t="shared" si="264"/>
        <v>87.4358039136636</v>
      </c>
      <c r="BL274" s="32">
        <f t="shared" si="258"/>
        <v>-16.0489606949637</v>
      </c>
      <c r="BM274" s="31">
        <f t="shared" si="259"/>
        <v>67.8858473108457</v>
      </c>
      <c r="BO274">
        <f t="shared" si="260"/>
        <v>0</v>
      </c>
      <c r="BP274">
        <f t="shared" si="261"/>
        <v>0</v>
      </c>
    </row>
    <row r="275" spans="14:68">
      <c r="N275" s="7">
        <v>57</v>
      </c>
      <c r="O275" s="18">
        <f t="shared" si="262"/>
        <v>3715.35229097172</v>
      </c>
      <c r="P275" s="86" t="str">
        <f t="shared" ref="P275:P338" si="265">COMPLEX(Adc,0)</f>
        <v>163,636363636364</v>
      </c>
      <c r="Q275" s="4" t="str">
        <f t="shared" ref="Q275:Q338" si="266">IMSUM(COMPLEX(1,0),IMDIV(COMPLEX(0,2*PI()*O275),COMPLEX(wp_lf,0)))</f>
        <v>1+142,612126672937i</v>
      </c>
      <c r="R275" s="4">
        <f t="shared" si="224"/>
        <v>142.615632643052</v>
      </c>
      <c r="S275" s="4">
        <f t="shared" si="225"/>
        <v>1.56378441529545</v>
      </c>
      <c r="T275" s="4" t="str">
        <f t="shared" ref="T275:T338" si="267">IMSUM(COMPLEX(1,0),IMDIV(COMPLEX(0,2*PI()*O275),COMPLEX(wz_esr,0)))</f>
        <v>1+0,366037791793871i</v>
      </c>
      <c r="U275" s="4">
        <f t="shared" si="226"/>
        <v>1.06488669116547</v>
      </c>
      <c r="V275" s="4">
        <f t="shared" si="227"/>
        <v>0.350890335243878</v>
      </c>
      <c r="W275" t="str">
        <f t="shared" ref="W275:W338" si="268">IMSUB(COMPLEX(1,0),IMDIV(COMPLEX(0,2*PI()*O275),COMPLEX(wz_rhp,0)))</f>
        <v>1-0,350163703884443i</v>
      </c>
      <c r="X275" s="4">
        <f t="shared" si="228"/>
        <v>1.05953509593504</v>
      </c>
      <c r="Y275" s="4">
        <f t="shared" si="229"/>
        <v>-0.336820650591792</v>
      </c>
      <c r="Z275" t="str">
        <f t="shared" ref="Z275:Z338" si="269">IMSUM(COMPLEX(1,0),IMDIV(COMPLEX(0,2*PI()*O275),COMPLEX(Q*(wsl/2),0)),IMDIV(IMPOWER(COMPLEX(0,2*PI()*O275),2),IMPOWER(COMPLEX(wsl/2,0),2)))</f>
        <v>0,999887315570236+0,0725339100903488i</v>
      </c>
      <c r="AA275" s="4">
        <f t="shared" si="230"/>
        <v>1.00251474400691</v>
      </c>
      <c r="AB275" s="4">
        <f t="shared" si="231"/>
        <v>0.0724152373456712</v>
      </c>
      <c r="AC275" s="67" t="str">
        <f t="shared" si="232"/>
        <v>-0,0662600837837504-1,28963912210614i</v>
      </c>
      <c r="AD275" s="68">
        <f t="shared" si="233"/>
        <v>2.22081329493216</v>
      </c>
      <c r="AE275" s="31">
        <f t="shared" si="234"/>
        <v>-92.941200987463</v>
      </c>
      <c r="AF275" s="32" t="str">
        <f t="shared" si="235"/>
        <v>748,315388573934</v>
      </c>
      <c r="AG275" s="32" t="str">
        <f t="shared" ref="AG275:AG338" si="270">IMSUM(COMPLEX(1,0),IMDIV(COMPLEX(0,2*PI()*O275),COMPLEX(wp_lf_DCM,0)))</f>
        <v>1+116,202473585356i</v>
      </c>
      <c r="AH275" s="32">
        <f t="shared" si="236"/>
        <v>116.206776340089</v>
      </c>
      <c r="AI275" s="32">
        <f t="shared" si="237"/>
        <v>1.56219087043585</v>
      </c>
      <c r="AJ275" s="32" t="str">
        <f t="shared" ref="AJ275:AJ338" si="271">IMSUM(COMPLEX(1,0),IMDIV(COMPLEX(0,2*PI()*O275),COMPLEX(wz1_dcm,0)))</f>
        <v>1+0,366037791793871i</v>
      </c>
      <c r="AK275" s="32">
        <f t="shared" si="238"/>
        <v>1.06488669116547</v>
      </c>
      <c r="AL275" s="32">
        <f t="shared" si="239"/>
        <v>0.350890335243878</v>
      </c>
      <c r="AM275" s="32" t="str">
        <f t="shared" ref="AM275:AM338" si="272">IMSUB(COMPLEX(1,0),IMDIV(COMPLEX(0,2*PI()*O275),COMPLEX(wz2_dcm,0)))</f>
        <v>1-0,0623901242485404i</v>
      </c>
      <c r="AN275" s="32">
        <f t="shared" si="240"/>
        <v>1.00194437350771</v>
      </c>
      <c r="AO275" s="32">
        <f t="shared" si="241"/>
        <v>-0.0623093610283545</v>
      </c>
      <c r="AP275" s="30" t="str">
        <f t="shared" si="242"/>
        <v>2,011951388852-6,56950578934138i</v>
      </c>
      <c r="AQ275" s="32">
        <f t="shared" si="243"/>
        <v>16.7400046534058</v>
      </c>
      <c r="AR275" s="31">
        <f t="shared" si="244"/>
        <v>-72.9724717995196</v>
      </c>
      <c r="AS275" t="str">
        <f t="shared" ref="AS275:AS338" si="273">COMPLEX(Adc_ea,0)</f>
        <v>-0,0000504684572142411</v>
      </c>
      <c r="AT275" t="str">
        <f t="shared" ref="AT275:AT338" si="274">COMPLEX(0,2*PI()*O275*wp0_ea)</f>
        <v>0,00524545228418895i</v>
      </c>
      <c r="AU275">
        <f t="shared" si="245"/>
        <v>0.00524545228418895</v>
      </c>
      <c r="AV275">
        <f t="shared" si="246"/>
        <v>1.5707963267949</v>
      </c>
      <c r="AW275" t="str">
        <f t="shared" ref="AW275:AW338" si="275">IMSUM(COMPLEX(1,0),IMDIV(COMPLEX(0,2*PI()*O275),COMPLEX(wp1_ea,0)))</f>
        <v>1+0,268557535837794i</v>
      </c>
      <c r="AX275">
        <f t="shared" si="247"/>
        <v>1.03543379800703</v>
      </c>
      <c r="AY275">
        <f t="shared" si="248"/>
        <v>0.262366893554157</v>
      </c>
      <c r="AZ275" t="str">
        <f t="shared" ref="AZ275:AZ338" si="276">IMSUM(COMPLEX(1,0),IMDIV(COMPLEX(0,2*PI()*O275),COMPLEX(wz_ea,0)))</f>
        <v>1+12,8393358090962i</v>
      </c>
      <c r="BA275">
        <f t="shared" si="249"/>
        <v>12.8782197534729</v>
      </c>
      <c r="BB275">
        <f t="shared" si="250"/>
        <v>1.49306759653226</v>
      </c>
      <c r="BC275" s="30" t="str">
        <f t="shared" si="251"/>
        <v>-0,112811813464488+0,0399178364446592i</v>
      </c>
      <c r="BD275" s="32">
        <f t="shared" si="252"/>
        <v>-18.4405883434754</v>
      </c>
      <c r="BE275" s="31">
        <f t="shared" si="253"/>
        <v>160.513956124429</v>
      </c>
      <c r="BF275" s="30" t="str">
        <f t="shared" si="254"/>
        <v>0,0589545237608206+0,142841568892255i</v>
      </c>
      <c r="BG275" s="68">
        <f t="shared" si="255"/>
        <v>-16.2197750485433</v>
      </c>
      <c r="BH275" s="31">
        <f t="shared" si="256"/>
        <v>67.5727551369658</v>
      </c>
      <c r="BI275" s="30" t="str">
        <f t="shared" si="263"/>
        <v>0,0352685728423815+0,821430608135853i</v>
      </c>
      <c r="BJ275" s="68">
        <f t="shared" si="257"/>
        <v>-1.70058369006964</v>
      </c>
      <c r="BK275" s="31">
        <f t="shared" si="264"/>
        <v>87.5414843249092</v>
      </c>
      <c r="BL275" s="32">
        <f t="shared" si="258"/>
        <v>-16.2197750485433</v>
      </c>
      <c r="BM275" s="31">
        <f t="shared" si="259"/>
        <v>67.5727551369658</v>
      </c>
      <c r="BO275">
        <f t="shared" si="260"/>
        <v>0</v>
      </c>
      <c r="BP275">
        <f t="shared" si="261"/>
        <v>0</v>
      </c>
    </row>
    <row r="276" spans="14:68">
      <c r="N276" s="7">
        <v>58</v>
      </c>
      <c r="O276" s="18">
        <f t="shared" si="262"/>
        <v>3801.89396320562</v>
      </c>
      <c r="P276" s="86" t="str">
        <f t="shared" si="265"/>
        <v>163,636363636364</v>
      </c>
      <c r="Q276" s="4" t="str">
        <f t="shared" si="266"/>
        <v>1+145,933989838672i</v>
      </c>
      <c r="R276" s="4">
        <f t="shared" ref="R276:R339" si="277">IMABS(Q276)</f>
        <v>145.937416005059</v>
      </c>
      <c r="S276" s="4">
        <f t="shared" ref="S276:S339" si="278">IMARGUMENT(Q276)</f>
        <v>1.5639440208332</v>
      </c>
      <c r="T276" s="4" t="str">
        <f t="shared" si="267"/>
        <v>1+0,374563907252591i</v>
      </c>
      <c r="U276" s="4">
        <f t="shared" ref="U276:U339" si="279">IMABS(T276)</f>
        <v>1.06784742384684</v>
      </c>
      <c r="V276" s="4">
        <f t="shared" ref="V276:V339" si="280">IMARGUMENT(T276)</f>
        <v>0.358388287577729</v>
      </c>
      <c r="W276" t="str">
        <f t="shared" si="268"/>
        <v>1-0,358320064336025i</v>
      </c>
      <c r="X276" s="4">
        <f t="shared" ref="X276:X339" si="281">IMABS(W276)</f>
        <v>1.06225856951393</v>
      </c>
      <c r="Y276" s="4">
        <f t="shared" ref="Y276:Y339" si="282">IMARGUMENT(W276)</f>
        <v>-0.344067589853626</v>
      </c>
      <c r="Z276" t="str">
        <f t="shared" si="269"/>
        <v>0,999882004916674+0,0742234418981765i</v>
      </c>
      <c r="AA276" s="4">
        <f t="shared" ref="AA276:AA339" si="283">IMABS(Z276)</f>
        <v>1.00263310492094</v>
      </c>
      <c r="AB276" s="4">
        <f t="shared" ref="AB276:AB339" si="284">IMARGUMENT(Z276)</f>
        <v>0.0740962997811383</v>
      </c>
      <c r="AC276" s="67" t="str">
        <f t="shared" ref="AC276:AC339" si="285">(IMDIV(IMPRODUCT(P276,T276,W276),IMPRODUCT(Q276,Z276)))</f>
        <v>-0,0671049731101528-1,2667825979927i</v>
      </c>
      <c r="AD276" s="68">
        <f t="shared" ref="AD276:AD339" si="286">20*LOG(IMABS(AC276))</f>
        <v>2.06621150459382</v>
      </c>
      <c r="AE276" s="31">
        <f t="shared" ref="AE276:AE339" si="287">(180/PI())*IMARGUMENT(AC276)</f>
        <v>-93.0322815041842</v>
      </c>
      <c r="AF276" s="32" t="str">
        <f t="shared" ref="AF276:AF339" si="288">COMPLEX($B$68,0)</f>
        <v>748,315388573934</v>
      </c>
      <c r="AG276" s="32" t="str">
        <f t="shared" si="270"/>
        <v>1+118,909176905585i</v>
      </c>
      <c r="AH276" s="32">
        <f t="shared" ref="AH276:AH339" si="289">IMABS(AG276)</f>
        <v>118.913381721166</v>
      </c>
      <c r="AI276" s="32">
        <f t="shared" ref="AI276:AI339" si="290">IMARGUMENT(AG276)</f>
        <v>1.56238674519469</v>
      </c>
      <c r="AJ276" s="32" t="str">
        <f t="shared" si="271"/>
        <v>1+0,374563907252591i</v>
      </c>
      <c r="AK276" s="32">
        <f t="shared" ref="AK276:AK339" si="291">IMABS(AJ276)</f>
        <v>1.06784742384684</v>
      </c>
      <c r="AL276" s="32">
        <f t="shared" ref="AL276:AL339" si="292">IMARGUMENT(AJ276)</f>
        <v>0.358388287577729</v>
      </c>
      <c r="AM276" s="32" t="str">
        <f t="shared" si="272"/>
        <v>1-0,0638433769310572i</v>
      </c>
      <c r="AN276" s="32">
        <f t="shared" ref="AN276:AN339" si="293">IMABS(AM276)</f>
        <v>1.00203591591218</v>
      </c>
      <c r="AO276" s="32">
        <f t="shared" ref="AO276:AO339" si="294">IMARGUMENT(AM276)</f>
        <v>-0.0637568470749636</v>
      </c>
      <c r="AP276" s="30" t="str">
        <f t="shared" ref="AP276:AP339" si="295">(IMDIV(IMPRODUCT(AF276,AJ276,AM276),IMPRODUCT(AG276)))</f>
        <v>2,00946403231169-6,42675971810414i</v>
      </c>
      <c r="AQ276" s="32">
        <f t="shared" ref="AQ276:AQ339" si="296">20*LOG(IMABS(AP276))</f>
        <v>16.5649287752308</v>
      </c>
      <c r="AR276" s="31">
        <f t="shared" ref="AR276:AR339" si="297">(180/PI())*IMARGUMENT(AP276)</f>
        <v>-72.6370284141689</v>
      </c>
      <c r="AS276" t="str">
        <f t="shared" si="273"/>
        <v>-0,0000504684572142411</v>
      </c>
      <c r="AT276" t="str">
        <f t="shared" si="274"/>
        <v>0,00536763456375365i</v>
      </c>
      <c r="AU276">
        <f t="shared" ref="AU276:AU339" si="298">IMABS(AT276)</f>
        <v>0.00536763456375365</v>
      </c>
      <c r="AV276">
        <f t="shared" ref="AV276:AV339" si="299">IMARGUMENT(AT276)</f>
        <v>1.5707963267949</v>
      </c>
      <c r="AW276" t="str">
        <f t="shared" si="275"/>
        <v>1+0,274813044447003i</v>
      </c>
      <c r="AX276">
        <f t="shared" ref="AX276:AX339" si="300">IMABS(AW276)</f>
        <v>1.03707386882431</v>
      </c>
      <c r="AY276">
        <f t="shared" ref="AY276:AY339" si="301">IMARGUMENT(AW276)</f>
        <v>0.268192391510065</v>
      </c>
      <c r="AZ276" t="str">
        <f t="shared" si="276"/>
        <v>1+13,1384023589876i</v>
      </c>
      <c r="BA276">
        <f t="shared" ref="BA276:BA339" si="302">IMABS(AZ276)</f>
        <v>13.1764037789774</v>
      </c>
      <c r="BB276">
        <f t="shared" ref="BB276:BB339" si="303">IMARGUMENT(AZ276)</f>
        <v>1.49483004058231</v>
      </c>
      <c r="BC276" s="30" t="str">
        <f t="shared" ref="BC276:BC339" si="304">IMPRODUCT(AS276,IMDIV(AZ276,IMPRODUCT(AT276,AW276)))</f>
        <v>-0,112455285216906+0,0403065438957815i</v>
      </c>
      <c r="BD276" s="32">
        <f t="shared" ref="BD276:BD339" si="305">20*LOG(IMABS(BC276))</f>
        <v>-18.4555141693187</v>
      </c>
      <c r="BE276" s="31">
        <f t="shared" ref="BE276:BE339" si="306">(180/PI())*IMARGUMENT(BC276)</f>
        <v>160.281160283689</v>
      </c>
      <c r="BF276" s="30" t="str">
        <f t="shared" ref="BF276:BF339" si="307">IMPRODUCT(AC276,BC276)</f>
        <v>0,0586059372829799+0,139751628820793i</v>
      </c>
      <c r="BG276" s="68">
        <f t="shared" ref="BG276:BG339" si="308">20*LOG(IMABS(BF276))</f>
        <v>-16.3893026647249</v>
      </c>
      <c r="BH276" s="31">
        <f t="shared" ref="BH276:BH339" si="309">(180/PI())*IMARGUMENT(BF276)</f>
        <v>67.2488787795048</v>
      </c>
      <c r="BI276" s="30" t="str">
        <f t="shared" si="263"/>
        <v>0,0330656217986798+0,803717647345289i</v>
      </c>
      <c r="BJ276" s="68">
        <f t="shared" ref="BJ276:BJ339" si="310">20*LOG(IMABS(BI276))</f>
        <v>-1.89058539408788</v>
      </c>
      <c r="BK276" s="31">
        <f t="shared" si="264"/>
        <v>87.6441318695201</v>
      </c>
      <c r="BL276" s="32">
        <f t="shared" ref="BL276:BL339" si="311">IF($B$31=0,BJ276,BG276)</f>
        <v>-16.3893026647249</v>
      </c>
      <c r="BM276" s="31">
        <f t="shared" ref="BM276:BM339" si="312">IF($B$31=0,BK276,BH276)</f>
        <v>67.2488787795048</v>
      </c>
      <c r="BO276">
        <f t="shared" ref="BO276:BO339" si="313">SUM((BL277&lt;0)*(BL276&gt;0))*O276</f>
        <v>0</v>
      </c>
      <c r="BP276">
        <f t="shared" ref="BP276:BP339" si="314">IF(BO276&gt;0,BM276,0)</f>
        <v>0</v>
      </c>
    </row>
    <row r="277" spans="14:68">
      <c r="N277" s="7">
        <v>59</v>
      </c>
      <c r="O277" s="18">
        <f t="shared" si="262"/>
        <v>3890.45144994281</v>
      </c>
      <c r="P277" s="86" t="str">
        <f t="shared" si="265"/>
        <v>163,636363636364</v>
      </c>
      <c r="Q277" s="4" t="str">
        <f t="shared" si="266"/>
        <v>1+149,333229137484i</v>
      </c>
      <c r="R277" s="4">
        <f t="shared" si="277"/>
        <v>149.336577316571</v>
      </c>
      <c r="S277" s="4">
        <f t="shared" si="278"/>
        <v>1.56409999364271</v>
      </c>
      <c r="T277" s="4" t="str">
        <f t="shared" si="267"/>
        <v>1+0,383288621452875i</v>
      </c>
      <c r="U277" s="4">
        <f t="shared" si="279"/>
        <v>1.07093891858278</v>
      </c>
      <c r="V277" s="4">
        <f t="shared" si="280"/>
        <v>0.36601753178954</v>
      </c>
      <c r="W277" t="str">
        <f t="shared" si="268"/>
        <v>1-0,366666410828643i</v>
      </c>
      <c r="X277" s="4">
        <f t="shared" si="281"/>
        <v>1.06510293250463</v>
      </c>
      <c r="Y277" s="4">
        <f t="shared" si="282"/>
        <v>-0.351444568485197</v>
      </c>
      <c r="Z277" t="str">
        <f t="shared" si="269"/>
        <v>0,99987644397972+0,0759523279573618i</v>
      </c>
      <c r="AA277" s="4">
        <f t="shared" si="283"/>
        <v>1.00275702906919</v>
      </c>
      <c r="AB277" s="4">
        <f t="shared" si="284"/>
        <v>0.0758161129361166</v>
      </c>
      <c r="AC277" s="67" t="str">
        <f t="shared" si="285"/>
        <v>-0,0679560641319616-1,24459422806871i</v>
      </c>
      <c r="AD277" s="68">
        <f t="shared" si="286"/>
        <v>1.91348386768629</v>
      </c>
      <c r="AE277" s="31">
        <f t="shared" si="287"/>
        <v>-93.1253023701551</v>
      </c>
      <c r="AF277" s="32" t="str">
        <f t="shared" si="288"/>
        <v>748,315388573934</v>
      </c>
      <c r="AG277" s="32" t="str">
        <f t="shared" si="270"/>
        <v>1+121,678927445357i</v>
      </c>
      <c r="AH277" s="32">
        <f t="shared" si="289"/>
        <v>121.68303655092</v>
      </c>
      <c r="AI277" s="32">
        <f t="shared" si="290"/>
        <v>1.56257816192323</v>
      </c>
      <c r="AJ277" s="32" t="str">
        <f t="shared" si="271"/>
        <v>1+0,383288621452875i</v>
      </c>
      <c r="AK277" s="32">
        <f t="shared" si="291"/>
        <v>1.07093891858278</v>
      </c>
      <c r="AL277" s="32">
        <f t="shared" si="292"/>
        <v>0.36601753178954</v>
      </c>
      <c r="AM277" s="32" t="str">
        <f t="shared" si="272"/>
        <v>1-0,0653304802170896i</v>
      </c>
      <c r="AN277" s="32">
        <f t="shared" si="293"/>
        <v>1.00213176361464</v>
      </c>
      <c r="AO277" s="32">
        <f t="shared" si="294"/>
        <v>-0.0652377724548291</v>
      </c>
      <c r="AP277" s="30" t="str">
        <f t="shared" si="295"/>
        <v>2,00708860977922-6,28741931662471i</v>
      </c>
      <c r="AQ277" s="32">
        <f t="shared" si="296"/>
        <v>16.3908833320005</v>
      </c>
      <c r="AR277" s="31">
        <f t="shared" si="297"/>
        <v>-72.295723064671</v>
      </c>
      <c r="AS277" t="str">
        <f t="shared" si="273"/>
        <v>-0,0000504684572142411</v>
      </c>
      <c r="AT277" t="str">
        <f t="shared" si="274"/>
        <v>0,00549266283421307i</v>
      </c>
      <c r="AU277">
        <f t="shared" si="298"/>
        <v>0.00549266283421307</v>
      </c>
      <c r="AV277">
        <f t="shared" si="299"/>
        <v>1.5707963267949</v>
      </c>
      <c r="AW277" t="str">
        <f t="shared" si="275"/>
        <v>1+0,281214262569958i</v>
      </c>
      <c r="AX277">
        <f t="shared" si="300"/>
        <v>1.03878845848073</v>
      </c>
      <c r="AY277">
        <f t="shared" si="301"/>
        <v>0.274134333047972</v>
      </c>
      <c r="AZ277" t="str">
        <f t="shared" si="276"/>
        <v>1+13,4444350637169i</v>
      </c>
      <c r="BA277">
        <f t="shared" si="302"/>
        <v>13.4815738763136</v>
      </c>
      <c r="BB277">
        <f t="shared" si="303"/>
        <v>1.4965528235308</v>
      </c>
      <c r="BC277" s="30" t="str">
        <f t="shared" si="304"/>
        <v>-0,112084361684724+0,0407080617700524i</v>
      </c>
      <c r="BD277" s="32">
        <f t="shared" si="305"/>
        <v>-18.4709886350221</v>
      </c>
      <c r="BE277" s="31">
        <f t="shared" si="306"/>
        <v>160.039420303419</v>
      </c>
      <c r="BF277" s="30" t="str">
        <f t="shared" si="307"/>
        <v>0,0582818307857088+0,13673318995324i</v>
      </c>
      <c r="BG277" s="68">
        <f t="shared" si="308"/>
        <v>-16.5575047673358</v>
      </c>
      <c r="BH277" s="31">
        <f t="shared" si="309"/>
        <v>66.914117933264</v>
      </c>
      <c r="BI277" s="30" t="str">
        <f t="shared" si="263"/>
        <v>0,0309854082435954+0,786426067852945i</v>
      </c>
      <c r="BJ277" s="68">
        <f t="shared" si="310"/>
        <v>-2.08010530302164</v>
      </c>
      <c r="BK277" s="31">
        <f t="shared" si="264"/>
        <v>87.743697238748</v>
      </c>
      <c r="BL277" s="32">
        <f t="shared" si="311"/>
        <v>-16.5575047673358</v>
      </c>
      <c r="BM277" s="31">
        <f t="shared" si="312"/>
        <v>66.914117933264</v>
      </c>
      <c r="BO277">
        <f t="shared" si="313"/>
        <v>0</v>
      </c>
      <c r="BP277">
        <f t="shared" si="314"/>
        <v>0</v>
      </c>
    </row>
    <row r="278" spans="14:68">
      <c r="N278" s="7">
        <v>60</v>
      </c>
      <c r="O278" s="18">
        <f t="shared" si="262"/>
        <v>3981.07170553498</v>
      </c>
      <c r="P278" s="86" t="str">
        <f t="shared" si="265"/>
        <v>163,636363636364</v>
      </c>
      <c r="Q278" s="4" t="str">
        <f t="shared" si="266"/>
        <v>1+152,811646891044i</v>
      </c>
      <c r="R278" s="4">
        <f t="shared" si="277"/>
        <v>152.814918857921</v>
      </c>
      <c r="S278" s="4">
        <f t="shared" si="278"/>
        <v>1.56425241639245</v>
      </c>
      <c r="T278" s="4" t="str">
        <f t="shared" si="267"/>
        <v>1+0,392216560353678i</v>
      </c>
      <c r="U278" s="4">
        <f t="shared" si="279"/>
        <v>1.07416657470602</v>
      </c>
      <c r="V278" s="4">
        <f t="shared" si="280"/>
        <v>0.373778559495469</v>
      </c>
      <c r="W278" t="str">
        <f t="shared" si="268"/>
        <v>1-0,375207168705687i</v>
      </c>
      <c r="X278" s="4">
        <f t="shared" si="281"/>
        <v>1.06807322756829</v>
      </c>
      <c r="Y278" s="4">
        <f t="shared" si="282"/>
        <v>-0.358952285257142</v>
      </c>
      <c r="Z278" t="str">
        <f t="shared" si="269"/>
        <v>0,999870620963881+0,077721484946178i</v>
      </c>
      <c r="AA278" s="4">
        <f t="shared" si="283"/>
        <v>1.00288677720316</v>
      </c>
      <c r="AB278" s="4">
        <f t="shared" si="284"/>
        <v>0.0775755505909229</v>
      </c>
      <c r="AC278" s="67" t="str">
        <f t="shared" si="285"/>
        <v>-0,0688151275716605-1,2230620301923i</v>
      </c>
      <c r="AD278" s="68">
        <f t="shared" si="286"/>
        <v>1.76269645492943</v>
      </c>
      <c r="AE278" s="31">
        <f t="shared" si="287"/>
        <v>-93.220330254932</v>
      </c>
      <c r="AF278" s="32" t="str">
        <f t="shared" si="288"/>
        <v>748,315388573934</v>
      </c>
      <c r="AG278" s="32" t="str">
        <f t="shared" si="270"/>
        <v>1+124,513193763073i</v>
      </c>
      <c r="AH278" s="32">
        <f t="shared" si="289"/>
        <v>124.517209337025</v>
      </c>
      <c r="AI278" s="32">
        <f t="shared" si="290"/>
        <v>1.56276522205701</v>
      </c>
      <c r="AJ278" s="32" t="str">
        <f t="shared" si="271"/>
        <v>1+0,392216560353678i</v>
      </c>
      <c r="AK278" s="32">
        <f t="shared" si="291"/>
        <v>1.07416657470602</v>
      </c>
      <c r="AL278" s="32">
        <f t="shared" si="292"/>
        <v>0.373778559495469</v>
      </c>
      <c r="AM278" s="32" t="str">
        <f t="shared" si="272"/>
        <v>1-0,0668522225884843i</v>
      </c>
      <c r="AN278" s="32">
        <f t="shared" si="293"/>
        <v>1.00223211865566</v>
      </c>
      <c r="AO278" s="32">
        <f t="shared" si="294"/>
        <v>-0.0667528963765345</v>
      </c>
      <c r="AP278" s="30" t="str">
        <f t="shared" si="295"/>
        <v>2,00482008475601-6,15141083046391i</v>
      </c>
      <c r="AQ278" s="32">
        <f t="shared" si="296"/>
        <v>16.2179049629104</v>
      </c>
      <c r="AR278" s="31">
        <f t="shared" si="297"/>
        <v>-71.9485768947713</v>
      </c>
      <c r="AS278" t="str">
        <f t="shared" si="273"/>
        <v>-0,0000504684572142411</v>
      </c>
      <c r="AT278" t="str">
        <f t="shared" si="274"/>
        <v>0,00562060338721118i</v>
      </c>
      <c r="AU278">
        <f t="shared" si="298"/>
        <v>0.00562060338721118</v>
      </c>
      <c r="AV278">
        <f t="shared" si="299"/>
        <v>1.5707963267949</v>
      </c>
      <c r="AW278" t="str">
        <f t="shared" si="275"/>
        <v>1+0,287764584217238i</v>
      </c>
      <c r="AX278">
        <f t="shared" si="300"/>
        <v>1.04058082623587</v>
      </c>
      <c r="AY278">
        <f t="shared" si="301"/>
        <v>0.280194189674916</v>
      </c>
      <c r="AZ278" t="str">
        <f t="shared" si="276"/>
        <v>1+13,7575961858752i</v>
      </c>
      <c r="BA278">
        <f t="shared" si="302"/>
        <v>13.7938918660981</v>
      </c>
      <c r="BB278">
        <f t="shared" si="303"/>
        <v>1.49823681789166</v>
      </c>
      <c r="BC278" s="30" t="str">
        <f t="shared" si="304"/>
        <v>-0,111698570649918+0,0411220812259189i</v>
      </c>
      <c r="BD278" s="32">
        <f t="shared" si="305"/>
        <v>-18.4870382823494</v>
      </c>
      <c r="BE278" s="31">
        <f t="shared" si="306"/>
        <v>159.788701863842</v>
      </c>
      <c r="BF278" s="30" t="str">
        <f t="shared" si="307"/>
        <v>0,0579814075387513+0,133784459323093i</v>
      </c>
      <c r="BG278" s="68">
        <f t="shared" si="308"/>
        <v>-16.72434182742</v>
      </c>
      <c r="BH278" s="31">
        <f t="shared" si="309"/>
        <v>66.5683716089101</v>
      </c>
      <c r="BI278" s="30" t="str">
        <f t="shared" si="263"/>
        <v>0,0290232779468404+0,769546171611934i</v>
      </c>
      <c r="BJ278" s="68">
        <f t="shared" si="310"/>
        <v>-2.26913331943898</v>
      </c>
      <c r="BK278" s="31">
        <f t="shared" si="264"/>
        <v>87.8401249690708</v>
      </c>
      <c r="BL278" s="32">
        <f t="shared" si="311"/>
        <v>-16.72434182742</v>
      </c>
      <c r="BM278" s="31">
        <f t="shared" si="312"/>
        <v>66.5683716089101</v>
      </c>
      <c r="BO278">
        <f t="shared" si="313"/>
        <v>0</v>
      </c>
      <c r="BP278">
        <f t="shared" si="314"/>
        <v>0</v>
      </c>
    </row>
    <row r="279" spans="14:68">
      <c r="N279" s="7">
        <v>61</v>
      </c>
      <c r="O279" s="18">
        <f t="shared" si="262"/>
        <v>4073.80277804113</v>
      </c>
      <c r="P279" s="86" t="str">
        <f t="shared" si="265"/>
        <v>163,636363636364</v>
      </c>
      <c r="Q279" s="4" t="str">
        <f t="shared" si="266"/>
        <v>1+156,371087402486i</v>
      </c>
      <c r="R279" s="4">
        <f t="shared" si="277"/>
        <v>156.374284891845</v>
      </c>
      <c r="S279" s="4">
        <f t="shared" si="278"/>
        <v>1.56440136987064</v>
      </c>
      <c r="T279" s="4" t="str">
        <f t="shared" si="267"/>
        <v>1+0,401352457666379i</v>
      </c>
      <c r="U279" s="4">
        <f t="shared" si="279"/>
        <v>1.0775359832854</v>
      </c>
      <c r="V279" s="4">
        <f t="shared" si="280"/>
        <v>0.381671744879521</v>
      </c>
      <c r="W279" t="str">
        <f t="shared" si="268"/>
        <v>1-0,383946866390031i</v>
      </c>
      <c r="X279" s="4">
        <f t="shared" si="281"/>
        <v>1.07117468053102</v>
      </c>
      <c r="Y279" s="4">
        <f t="shared" si="282"/>
        <v>-0.366591334441669</v>
      </c>
      <c r="Z279" t="str">
        <f t="shared" si="269"/>
        <v>0,99986452351776+0,0795318508950779i</v>
      </c>
      <c r="AA279" s="4">
        <f t="shared" si="283"/>
        <v>1.00302262222554</v>
      </c>
      <c r="AB279" s="4">
        <f t="shared" si="284"/>
        <v>0.0793755048422938</v>
      </c>
      <c r="AC279" s="67" t="str">
        <f t="shared" si="285"/>
        <v>-0,0696839478038371-1,20217435282554i</v>
      </c>
      <c r="AD279" s="68">
        <f t="shared" si="286"/>
        <v>1.61391671290098</v>
      </c>
      <c r="AE279" s="31">
        <f t="shared" si="287"/>
        <v>-93.3174335108418</v>
      </c>
      <c r="AF279" s="32" t="str">
        <f t="shared" si="288"/>
        <v>748,315388573934</v>
      </c>
      <c r="AG279" s="32" t="str">
        <f t="shared" si="270"/>
        <v>1+127,413478624247i</v>
      </c>
      <c r="AH279" s="32">
        <f t="shared" si="289"/>
        <v>127.417402795424</v>
      </c>
      <c r="AI279" s="32">
        <f t="shared" si="290"/>
        <v>1.56294802472541</v>
      </c>
      <c r="AJ279" s="32" t="str">
        <f t="shared" si="271"/>
        <v>1+0,401352457666379i</v>
      </c>
      <c r="AK279" s="32">
        <f t="shared" si="291"/>
        <v>1.0775359832854</v>
      </c>
      <c r="AL279" s="32">
        <f t="shared" si="292"/>
        <v>0.381671744879521</v>
      </c>
      <c r="AM279" s="32" t="str">
        <f t="shared" si="272"/>
        <v>1-0,0684094108931889i</v>
      </c>
      <c r="AN279" s="32">
        <f t="shared" si="293"/>
        <v>1.00233719251495</v>
      </c>
      <c r="AO279" s="32">
        <f t="shared" si="294"/>
        <v>-0.0683029943382183</v>
      </c>
      <c r="AP279" s="30" t="str">
        <f t="shared" si="295"/>
        <v>2,00265364730362-6,01866226342137i</v>
      </c>
      <c r="AQ279" s="32">
        <f t="shared" si="296"/>
        <v>16.0460311054363</v>
      </c>
      <c r="AR279" s="31">
        <f t="shared" si="297"/>
        <v>-71.5956185777701</v>
      </c>
      <c r="AS279" t="str">
        <f t="shared" si="273"/>
        <v>-0,0000504684572142411</v>
      </c>
      <c r="AT279" t="str">
        <f t="shared" si="274"/>
        <v>0,00575152405852267i</v>
      </c>
      <c r="AU279">
        <f t="shared" si="298"/>
        <v>0.00575152405852267</v>
      </c>
      <c r="AV279">
        <f t="shared" si="299"/>
        <v>1.5707963267949</v>
      </c>
      <c r="AW279" t="str">
        <f t="shared" si="275"/>
        <v>1+0,294467482456084i</v>
      </c>
      <c r="AX279">
        <f t="shared" si="300"/>
        <v>1.04245436265768</v>
      </c>
      <c r="AY279">
        <f t="shared" si="301"/>
        <v>0.286373393477684</v>
      </c>
      <c r="AZ279" t="str">
        <f t="shared" si="276"/>
        <v>1+14,0780517676345i</v>
      </c>
      <c r="BA279">
        <f t="shared" si="302"/>
        <v>14.1135233578365</v>
      </c>
      <c r="BB279">
        <f t="shared" si="303"/>
        <v>1.49988287831533</v>
      </c>
      <c r="BC279" s="30" t="str">
        <f t="shared" si="304"/>
        <v>-0,111297434076689+0,0415482724180856i</v>
      </c>
      <c r="BD279" s="32">
        <f t="shared" si="305"/>
        <v>-18.5036903354473</v>
      </c>
      <c r="BE279" s="31">
        <f t="shared" si="306"/>
        <v>159.528971880292</v>
      </c>
      <c r="BF279" s="30" t="str">
        <f t="shared" si="307"/>
        <v>0,0577039120921323+0,130903673135765i</v>
      </c>
      <c r="BG279" s="68">
        <f t="shared" si="308"/>
        <v>-16.8897736225463</v>
      </c>
      <c r="BH279" s="31">
        <f t="shared" si="309"/>
        <v>66.21153836945</v>
      </c>
      <c r="BI279" s="30" t="str">
        <f t="shared" si="263"/>
        <v>0,0271748070238673+0,753068465790239i</v>
      </c>
      <c r="BJ279" s="68">
        <f t="shared" si="310"/>
        <v>-2.45765923001101</v>
      </c>
      <c r="BK279" s="31">
        <f t="shared" si="264"/>
        <v>87.9333533025218</v>
      </c>
      <c r="BL279" s="32">
        <f t="shared" si="311"/>
        <v>-16.8897736225463</v>
      </c>
      <c r="BM279" s="31">
        <f t="shared" si="312"/>
        <v>66.21153836945</v>
      </c>
      <c r="BO279">
        <f t="shared" si="313"/>
        <v>0</v>
      </c>
      <c r="BP279">
        <f t="shared" si="314"/>
        <v>0</v>
      </c>
    </row>
    <row r="280" spans="14:68">
      <c r="N280" s="7">
        <v>62</v>
      </c>
      <c r="O280" s="18">
        <f t="shared" si="262"/>
        <v>4168.69383470336</v>
      </c>
      <c r="P280" s="86" t="str">
        <f t="shared" si="265"/>
        <v>163,636363636364</v>
      </c>
      <c r="Q280" s="4" t="str">
        <f t="shared" si="266"/>
        <v>1+160,013437934285i</v>
      </c>
      <c r="R280" s="4">
        <f t="shared" si="277"/>
        <v>160.016562641338</v>
      </c>
      <c r="S280" s="4">
        <f t="shared" si="278"/>
        <v>1.56454693302792</v>
      </c>
      <c r="T280" s="4" t="str">
        <f t="shared" si="267"/>
        <v>1+0,410701157364665i</v>
      </c>
      <c r="U280" s="4">
        <f t="shared" si="279"/>
        <v>1.08105293147962</v>
      </c>
      <c r="V280" s="4">
        <f t="shared" si="280"/>
        <v>0.389697337865551</v>
      </c>
      <c r="W280" t="str">
        <f t="shared" si="268"/>
        <v>1-0,392890137785075i</v>
      </c>
      <c r="X280" s="4">
        <f t="shared" si="281"/>
        <v>1.07441270486195</v>
      </c>
      <c r="Y280" s="4">
        <f t="shared" si="282"/>
        <v>-0.37436219913799</v>
      </c>
      <c r="Z280" t="str">
        <f t="shared" si="269"/>
        <v>0,999858138707857+0,0813843856840512i</v>
      </c>
      <c r="AA280" s="4">
        <f t="shared" si="283"/>
        <v>1.00316484974979</v>
      </c>
      <c r="AB280" s="4">
        <f t="shared" si="284"/>
        <v>0.0812168863875292</v>
      </c>
      <c r="AC280" s="67" t="str">
        <f t="shared" si="285"/>
        <v>-0,0705643263280322-1,18191986779455i</v>
      </c>
      <c r="AD280" s="68">
        <f t="shared" si="286"/>
        <v>1.46721341194527</v>
      </c>
      <c r="AE280" s="31">
        <f t="shared" si="287"/>
        <v>-93.4166822004991</v>
      </c>
      <c r="AF280" s="32" t="str">
        <f t="shared" si="288"/>
        <v>748,315388573934</v>
      </c>
      <c r="AG280" s="32" t="str">
        <f t="shared" si="270"/>
        <v>1+130,381319798306i</v>
      </c>
      <c r="AH280" s="32">
        <f t="shared" si="289"/>
        <v>130.3851546471</v>
      </c>
      <c r="AI280" s="32">
        <f t="shared" si="290"/>
        <v>1.56312666680392</v>
      </c>
      <c r="AJ280" s="32" t="str">
        <f t="shared" si="271"/>
        <v>1+0,410701157364665i</v>
      </c>
      <c r="AK280" s="32">
        <f t="shared" si="291"/>
        <v>1.08105293147962</v>
      </c>
      <c r="AL280" s="32">
        <f t="shared" si="292"/>
        <v>0.389697337865551</v>
      </c>
      <c r="AM280" s="32" t="str">
        <f t="shared" si="272"/>
        <v>1-0,0700028707730551i</v>
      </c>
      <c r="AN280" s="32">
        <f t="shared" si="293"/>
        <v>1.00244720654829</v>
      </c>
      <c r="AO280" s="32">
        <f t="shared" si="294"/>
        <v>-0.0698888584089295</v>
      </c>
      <c r="AP280" s="30" t="str">
        <f t="shared" si="295"/>
        <v>2,00058470385712-5,88910333992098i</v>
      </c>
      <c r="AQ280" s="32">
        <f t="shared" si="296"/>
        <v>15.8752999715927</v>
      </c>
      <c r="AR280" s="31">
        <f t="shared" si="297"/>
        <v>-71.2368847268558</v>
      </c>
      <c r="AS280" t="str">
        <f t="shared" si="273"/>
        <v>-0,0000504684572142411</v>
      </c>
      <c r="AT280" t="str">
        <f t="shared" si="274"/>
        <v>0,00588549426402041i</v>
      </c>
      <c r="AU280">
        <f t="shared" si="298"/>
        <v>0.00588549426402041</v>
      </c>
      <c r="AV280">
        <f t="shared" si="299"/>
        <v>1.5707963267949</v>
      </c>
      <c r="AW280" t="str">
        <f t="shared" si="275"/>
        <v>1+0,301326511251867i</v>
      </c>
      <c r="AX280">
        <f t="shared" si="300"/>
        <v>1.04441259394131</v>
      </c>
      <c r="AY280">
        <f t="shared" si="301"/>
        <v>0.292673332525617</v>
      </c>
      <c r="AZ280" t="str">
        <f t="shared" si="276"/>
        <v>1+14,405971718786i</v>
      </c>
      <c r="BA280">
        <f t="shared" si="302"/>
        <v>14.4406378377987</v>
      </c>
      <c r="BB280">
        <f t="shared" si="303"/>
        <v>1.5014918418646</v>
      </c>
      <c r="BC280" s="30" t="str">
        <f t="shared" si="304"/>
        <v>-0,110880468983789+0,041986283316697i</v>
      </c>
      <c r="BD280" s="32">
        <f t="shared" si="305"/>
        <v>-18.5209727142128</v>
      </c>
      <c r="BE280" s="31">
        <f t="shared" si="306"/>
        <v>159.260198782419</v>
      </c>
      <c r="BF280" s="30" t="str">
        <f t="shared" si="307"/>
        <v>0,0574486280236324+0,128089095445057i</v>
      </c>
      <c r="BG280" s="68">
        <f t="shared" si="308"/>
        <v>-17.0537593022675</v>
      </c>
      <c r="BH280" s="31">
        <f t="shared" si="309"/>
        <v>65.8435165819203</v>
      </c>
      <c r="BI280" s="30" t="str">
        <f t="shared" si="263"/>
        <v>0,0254357911057567+0,736983656399632i</v>
      </c>
      <c r="BJ280" s="68">
        <f t="shared" si="310"/>
        <v>-2.64567274262008</v>
      </c>
      <c r="BK280" s="31">
        <f t="shared" si="264"/>
        <v>88.0233140555636</v>
      </c>
      <c r="BL280" s="32">
        <f t="shared" si="311"/>
        <v>-17.0537593022675</v>
      </c>
      <c r="BM280" s="31">
        <f t="shared" si="312"/>
        <v>65.8435165819203</v>
      </c>
      <c r="BO280">
        <f t="shared" si="313"/>
        <v>0</v>
      </c>
      <c r="BP280">
        <f t="shared" si="314"/>
        <v>0</v>
      </c>
    </row>
    <row r="281" spans="14:68">
      <c r="N281" s="7">
        <v>63</v>
      </c>
      <c r="O281" s="18">
        <f t="shared" si="262"/>
        <v>4265.79518801593</v>
      </c>
      <c r="P281" s="86" t="str">
        <f t="shared" si="265"/>
        <v>163,636363636364</v>
      </c>
      <c r="Q281" s="4" t="str">
        <f t="shared" si="266"/>
        <v>1+163,740629708905i</v>
      </c>
      <c r="R281" s="4">
        <f t="shared" si="277"/>
        <v>163.743683290284</v>
      </c>
      <c r="S281" s="4">
        <f t="shared" si="278"/>
        <v>1.56468918301913</v>
      </c>
      <c r="T281" s="4" t="str">
        <f t="shared" si="267"/>
        <v>1+0,420267616252856i</v>
      </c>
      <c r="U281" s="4">
        <f t="shared" si="279"/>
        <v>1.0847234068051</v>
      </c>
      <c r="V281" s="4">
        <f t="shared" si="280"/>
        <v>0.397855457249229</v>
      </c>
      <c r="W281" t="str">
        <f t="shared" si="268"/>
        <v>1-0,402041724731687i</v>
      </c>
      <c r="X281" s="4">
        <f t="shared" si="281"/>
        <v>1.07779290609339</v>
      </c>
      <c r="Y281" s="4">
        <f t="shared" si="282"/>
        <v>-0.382265244506354</v>
      </c>
      <c r="Z281" t="str">
        <f t="shared" si="269"/>
        <v>0,999851452991134+0,0832800715515637i</v>
      </c>
      <c r="AA281" s="4">
        <f t="shared" si="283"/>
        <v>1.00331375868475</v>
      </c>
      <c r="AB281" s="4">
        <f t="shared" si="284"/>
        <v>0.083100624805437</v>
      </c>
      <c r="AC281" s="67" t="str">
        <f t="shared" si="285"/>
        <v>-0,071458085248892-1,16228756314026i</v>
      </c>
      <c r="AD281" s="68">
        <f t="shared" si="286"/>
        <v>1.32265658597993</v>
      </c>
      <c r="AE281" s="31">
        <f t="shared" si="287"/>
        <v>-93.5181481211427</v>
      </c>
      <c r="AF281" s="32" t="str">
        <f t="shared" si="288"/>
        <v>748,315388573934</v>
      </c>
      <c r="AG281" s="32" t="str">
        <f t="shared" si="270"/>
        <v>1+133,418290873923i</v>
      </c>
      <c r="AH281" s="32">
        <f t="shared" si="289"/>
        <v>133.422038433381</v>
      </c>
      <c r="AI281" s="32">
        <f t="shared" si="290"/>
        <v>1.56330124296529</v>
      </c>
      <c r="AJ281" s="32" t="str">
        <f t="shared" si="271"/>
        <v>1+0,420267616252856i</v>
      </c>
      <c r="AK281" s="32">
        <f t="shared" si="291"/>
        <v>1.0847234068051</v>
      </c>
      <c r="AL281" s="32">
        <f t="shared" si="292"/>
        <v>0.397855457249229</v>
      </c>
      <c r="AM281" s="32" t="str">
        <f t="shared" si="272"/>
        <v>1-0,0716334471016024i</v>
      </c>
      <c r="AN281" s="32">
        <f t="shared" si="293"/>
        <v>1.00256239244431</v>
      </c>
      <c r="AO281" s="32">
        <f t="shared" si="294"/>
        <v>-0.0715112975097208</v>
      </c>
      <c r="AP281" s="30" t="str">
        <f t="shared" si="295"/>
        <v>1,99860886749645-5,76266546827284i</v>
      </c>
      <c r="AQ281" s="32">
        <f t="shared" si="296"/>
        <v>15.7057505202177</v>
      </c>
      <c r="AR281" s="31">
        <f t="shared" si="297"/>
        <v>-70.87242030765</v>
      </c>
      <c r="AS281" t="str">
        <f t="shared" si="273"/>
        <v>-0,0000504684572142411</v>
      </c>
      <c r="AT281" t="str">
        <f t="shared" si="274"/>
        <v>0,00602258503648066i</v>
      </c>
      <c r="AU281">
        <f t="shared" si="298"/>
        <v>0.00602258503648066</v>
      </c>
      <c r="AV281">
        <f t="shared" si="299"/>
        <v>1.5707963267949</v>
      </c>
      <c r="AW281" t="str">
        <f t="shared" si="275"/>
        <v>1+0,308345307352443i</v>
      </c>
      <c r="AX281">
        <f t="shared" si="300"/>
        <v>1.04645918628787</v>
      </c>
      <c r="AY281">
        <f t="shared" si="301"/>
        <v>0.299095346059901</v>
      </c>
      <c r="AZ281" t="str">
        <f t="shared" si="276"/>
        <v>1+14,7415299068285i</v>
      </c>
      <c r="BA281">
        <f t="shared" si="302"/>
        <v>14.7754087589454</v>
      </c>
      <c r="BB281">
        <f t="shared" si="303"/>
        <v>1.50306452829273</v>
      </c>
      <c r="BC281" s="30" t="str">
        <f t="shared" si="304"/>
        <v>-0,11044718841631+0,0424357385299064i</v>
      </c>
      <c r="BD281" s="32">
        <f t="shared" si="305"/>
        <v>-18.5389140459538</v>
      </c>
      <c r="BE281" s="31">
        <f t="shared" si="306"/>
        <v>158.982352805758</v>
      </c>
      <c r="BF281" s="30" t="str">
        <f t="shared" si="307"/>
        <v>0,0572148757313353+0,125339016858616i</v>
      </c>
      <c r="BG281" s="68">
        <f t="shared" si="308"/>
        <v>-17.2162574599739</v>
      </c>
      <c r="BH281" s="31">
        <f t="shared" si="309"/>
        <v>65.4642046846155</v>
      </c>
      <c r="BI281" s="30" t="str">
        <f t="shared" si="263"/>
        <v>0,0238022348880585+0,721282642079125i</v>
      </c>
      <c r="BJ281" s="68">
        <f t="shared" si="310"/>
        <v>-2.83316352573612</v>
      </c>
      <c r="BK281" s="31">
        <f t="shared" si="264"/>
        <v>88.1099324981083</v>
      </c>
      <c r="BL281" s="32">
        <f t="shared" si="311"/>
        <v>-17.2162574599739</v>
      </c>
      <c r="BM281" s="31">
        <f t="shared" si="312"/>
        <v>65.4642046846155</v>
      </c>
      <c r="BO281">
        <f t="shared" si="313"/>
        <v>0</v>
      </c>
      <c r="BP281">
        <f t="shared" si="314"/>
        <v>0</v>
      </c>
    </row>
    <row r="282" spans="14:68">
      <c r="N282" s="7">
        <v>64</v>
      </c>
      <c r="O282" s="18">
        <f t="shared" si="262"/>
        <v>4365.15832240166</v>
      </c>
      <c r="P282" s="86" t="str">
        <f t="shared" si="265"/>
        <v>163,636363636364</v>
      </c>
      <c r="Q282" s="4" t="str">
        <f t="shared" si="266"/>
        <v>1+167,55463893276i</v>
      </c>
      <c r="R282" s="4">
        <f t="shared" si="277"/>
        <v>167.557623007393</v>
      </c>
      <c r="S282" s="4">
        <f t="shared" si="278"/>
        <v>1.56482819524404</v>
      </c>
      <c r="T282" s="4" t="str">
        <f t="shared" si="267"/>
        <v>1+0,430056906594084i</v>
      </c>
      <c r="U282" s="4">
        <f t="shared" si="279"/>
        <v>1.08855360130279</v>
      </c>
      <c r="V282" s="4">
        <f t="shared" si="280"/>
        <v>0.406146083820919</v>
      </c>
      <c r="W282" t="str">
        <f t="shared" si="268"/>
        <v>1-0,411406479522403i</v>
      </c>
      <c r="X282" s="4">
        <f t="shared" si="281"/>
        <v>1.08132108616868</v>
      </c>
      <c r="Y282" s="4">
        <f t="shared" si="282"/>
        <v>-0.390300710936068</v>
      </c>
      <c r="Z282" t="str">
        <f t="shared" si="269"/>
        <v>0,999844452186289+0,0852199136153547i</v>
      </c>
      <c r="AA282" s="4">
        <f t="shared" si="283"/>
        <v>1.00346966184549</v>
      </c>
      <c r="AB282" s="4">
        <f t="shared" si="284"/>
        <v>0.0850276688333577</v>
      </c>
      <c r="AC282" s="67" t="str">
        <f t="shared" si="285"/>
        <v>-0,072367070768329-1,1432667360518i</v>
      </c>
      <c r="AD282" s="68">
        <f t="shared" si="286"/>
        <v>1.18031746382649</v>
      </c>
      <c r="AE282" s="31">
        <f t="shared" si="287"/>
        <v>-93.6219048254315</v>
      </c>
      <c r="AF282" s="32" t="str">
        <f t="shared" si="288"/>
        <v>748,315388573934</v>
      </c>
      <c r="AG282" s="32" t="str">
        <f t="shared" si="270"/>
        <v>1+136,52600209336i</v>
      </c>
      <c r="AH282" s="32">
        <f t="shared" si="289"/>
        <v>136.529664350265</v>
      </c>
      <c r="AI282" s="32">
        <f t="shared" si="290"/>
        <v>1.56347184572954</v>
      </c>
      <c r="AJ282" s="32" t="str">
        <f t="shared" si="271"/>
        <v>1+0,430056906594084i</v>
      </c>
      <c r="AK282" s="32">
        <f t="shared" si="291"/>
        <v>1.08855360130279</v>
      </c>
      <c r="AL282" s="32">
        <f t="shared" si="292"/>
        <v>0.406146083820919</v>
      </c>
      <c r="AM282" s="32" t="str">
        <f t="shared" si="272"/>
        <v>1-0,0733020044319837i</v>
      </c>
      <c r="AN282" s="32">
        <f t="shared" si="293"/>
        <v>1.00268299270195</v>
      </c>
      <c r="AO282" s="32">
        <f t="shared" si="294"/>
        <v>-0.0731711376940173</v>
      </c>
      <c r="AP282" s="30" t="str">
        <f t="shared" si="295"/>
        <v>1,99672194865463-5,63928170479219i</v>
      </c>
      <c r="AQ282" s="32">
        <f t="shared" si="296"/>
        <v>15.5374224251086</v>
      </c>
      <c r="AR282" s="31">
        <f t="shared" si="297"/>
        <v>-70.5022790511641</v>
      </c>
      <c r="AS282" t="str">
        <f t="shared" si="273"/>
        <v>-0,0000504684572142411</v>
      </c>
      <c r="AT282" t="str">
        <f t="shared" si="274"/>
        <v>0,00616286906324558i</v>
      </c>
      <c r="AU282">
        <f t="shared" si="298"/>
        <v>0.00616286906324558</v>
      </c>
      <c r="AV282">
        <f t="shared" si="299"/>
        <v>1.5707963267949</v>
      </c>
      <c r="AW282" t="str">
        <f t="shared" si="275"/>
        <v>1+0,31552759221641i</v>
      </c>
      <c r="AX282">
        <f t="shared" si="300"/>
        <v>1.04859795033649</v>
      </c>
      <c r="AY282">
        <f t="shared" si="301"/>
        <v>0.305640719470362</v>
      </c>
      <c r="AZ282" t="str">
        <f t="shared" si="276"/>
        <v>1+15,0849042491547i</v>
      </c>
      <c r="BA282">
        <f t="shared" si="302"/>
        <v>15.1180136329534</v>
      </c>
      <c r="BB282">
        <f t="shared" si="303"/>
        <v>1.50460174032304</v>
      </c>
      <c r="BC282" s="30" t="str">
        <f t="shared" si="304"/>
        <v>-0,109997102521673+0,042896238136554i</v>
      </c>
      <c r="BD282" s="32">
        <f t="shared" si="305"/>
        <v>-18.5575436751803</v>
      </c>
      <c r="BE282" s="31">
        <f t="shared" si="306"/>
        <v>158.695406295555</v>
      </c>
      <c r="BF282" s="30" t="str">
        <f t="shared" si="307"/>
        <v>0,0570020102657759+0,122651753274185i</v>
      </c>
      <c r="BG282" s="68">
        <f t="shared" si="308"/>
        <v>-17.3772262113538</v>
      </c>
      <c r="BH282" s="31">
        <f t="shared" si="309"/>
        <v>65.0735014701238</v>
      </c>
      <c r="BI282" s="30" t="str">
        <f t="shared" si="263"/>
        <v>0,02227034203444+0,705956508032595i</v>
      </c>
      <c r="BJ282" s="68">
        <f t="shared" si="310"/>
        <v>-3.02012125007164</v>
      </c>
      <c r="BK282" s="31">
        <f t="shared" si="264"/>
        <v>88.1931272443913</v>
      </c>
      <c r="BL282" s="32">
        <f t="shared" si="311"/>
        <v>-17.3772262113538</v>
      </c>
      <c r="BM282" s="31">
        <f t="shared" si="312"/>
        <v>65.0735014701238</v>
      </c>
      <c r="BO282">
        <f t="shared" si="313"/>
        <v>0</v>
      </c>
      <c r="BP282">
        <f t="shared" si="314"/>
        <v>0</v>
      </c>
    </row>
    <row r="283" spans="14:68">
      <c r="N283" s="7">
        <v>65</v>
      </c>
      <c r="O283" s="18">
        <f t="shared" si="262"/>
        <v>4466.83592150963</v>
      </c>
      <c r="P283" s="86" t="str">
        <f t="shared" si="265"/>
        <v>163,636363636364</v>
      </c>
      <c r="Q283" s="4" t="str">
        <f t="shared" si="266"/>
        <v>1+171,457487844026i</v>
      </c>
      <c r="R283" s="4">
        <f t="shared" si="277"/>
        <v>171.460403993996</v>
      </c>
      <c r="S283" s="4">
        <f t="shared" si="278"/>
        <v>1.56496404338728</v>
      </c>
      <c r="T283" s="4" t="str">
        <f t="shared" si="267"/>
        <v>1+0,440074218799665i</v>
      </c>
      <c r="U283" s="4">
        <f t="shared" si="279"/>
        <v>1.09254991558836</v>
      </c>
      <c r="V283" s="4">
        <f t="shared" si="280"/>
        <v>0.414569053513269</v>
      </c>
      <c r="W283" t="str">
        <f t="shared" si="268"/>
        <v>1-0,42098936747417i</v>
      </c>
      <c r="X283" s="4">
        <f t="shared" si="281"/>
        <v>1.08500324770311</v>
      </c>
      <c r="Y283" s="4">
        <f t="shared" si="282"/>
        <v>-0.398468707175691</v>
      </c>
      <c r="Z283" t="str">
        <f t="shared" si="269"/>
        <v>0,999837121443676+0,0872049404053637i</v>
      </c>
      <c r="AA283" s="4">
        <f t="shared" si="283"/>
        <v>1.00363288659145</v>
      </c>
      <c r="AB283" s="4">
        <f t="shared" si="284"/>
        <v>0.0869989866394709</v>
      </c>
      <c r="AC283" s="67" t="str">
        <f t="shared" si="285"/>
        <v>-0,0732931566941465-1,12484698587362i</v>
      </c>
      <c r="AD283" s="68">
        <f t="shared" si="286"/>
        <v>1.04026839170856</v>
      </c>
      <c r="AE283" s="31">
        <f t="shared" si="287"/>
        <v>-93.728027638334</v>
      </c>
      <c r="AF283" s="32" t="str">
        <f t="shared" si="288"/>
        <v>748,315388573934</v>
      </c>
      <c r="AG283" s="32" t="str">
        <f t="shared" si="270"/>
        <v>1+139,706101206243i</v>
      </c>
      <c r="AH283" s="32">
        <f t="shared" si="289"/>
        <v>139.709680102164</v>
      </c>
      <c r="AI283" s="32">
        <f t="shared" si="290"/>
        <v>1.56363856551276</v>
      </c>
      <c r="AJ283" s="32" t="str">
        <f t="shared" si="271"/>
        <v>1+0,440074218799665i</v>
      </c>
      <c r="AK283" s="32">
        <f t="shared" si="291"/>
        <v>1.09254991558836</v>
      </c>
      <c r="AL283" s="32">
        <f t="shared" si="292"/>
        <v>0.414569053513269</v>
      </c>
      <c r="AM283" s="32" t="str">
        <f t="shared" si="272"/>
        <v>1-0,0750094274553817i</v>
      </c>
      <c r="AN283" s="32">
        <f t="shared" si="293"/>
        <v>1.00280926112955</v>
      </c>
      <c r="AO283" s="32">
        <f t="shared" si="294"/>
        <v>-0.0748692224267424</v>
      </c>
      <c r="AP283" s="30" t="str">
        <f t="shared" si="295"/>
        <v>1,9949199462433-5,51888671875974i</v>
      </c>
      <c r="AQ283" s="32">
        <f t="shared" si="296"/>
        <v>15.3703560388584</v>
      </c>
      <c r="AR283" s="31">
        <f t="shared" si="297"/>
        <v>-70.1265238652063</v>
      </c>
      <c r="AS283" t="str">
        <f t="shared" si="273"/>
        <v>-0,0000504684572142411</v>
      </c>
      <c r="AT283" t="str">
        <f t="shared" si="274"/>
        <v>0,00630642072476306i</v>
      </c>
      <c r="AU283">
        <f t="shared" si="298"/>
        <v>0.00630642072476306</v>
      </c>
      <c r="AV283">
        <f t="shared" si="299"/>
        <v>1.5707963267949</v>
      </c>
      <c r="AW283" t="str">
        <f t="shared" si="275"/>
        <v>1+0,322877173986272i</v>
      </c>
      <c r="AX283">
        <f t="shared" si="300"/>
        <v>1.05083284564262</v>
      </c>
      <c r="AY283">
        <f t="shared" si="301"/>
        <v>0.312310679062151</v>
      </c>
      <c r="AZ283" t="str">
        <f t="shared" si="276"/>
        <v>1+15,4362768073862i</v>
      </c>
      <c r="BA283">
        <f t="shared" si="302"/>
        <v>15.4686341243902</v>
      </c>
      <c r="BB283">
        <f t="shared" si="303"/>
        <v>1.50610426392965</v>
      </c>
      <c r="BC283" s="30" t="str">
        <f t="shared" si="304"/>
        <v>-0,109529719734306+0,0433673565364225i</v>
      </c>
      <c r="BD283" s="32">
        <f t="shared" si="305"/>
        <v>-18.5768916713571</v>
      </c>
      <c r="BE283" s="31">
        <f t="shared" si="306"/>
        <v>158.3993340227</v>
      </c>
      <c r="BF283" s="30" t="str">
        <f t="shared" si="307"/>
        <v>0,0568094191964539+0,120025644648682i</v>
      </c>
      <c r="BG283" s="68">
        <f t="shared" si="308"/>
        <v>-17.5366232796485</v>
      </c>
      <c r="BH283" s="31">
        <f t="shared" si="309"/>
        <v>64.6713063843662</v>
      </c>
      <c r="BI283" s="30" t="str">
        <f t="shared" si="263"/>
        <v>0,0208365054121751+0,690996520121492i</v>
      </c>
      <c r="BJ283" s="68">
        <f t="shared" si="310"/>
        <v>-3.20653563249864</v>
      </c>
      <c r="BK283" s="31">
        <f t="shared" si="264"/>
        <v>88.2728101574938</v>
      </c>
      <c r="BL283" s="32">
        <f t="shared" si="311"/>
        <v>-17.5366232796485</v>
      </c>
      <c r="BM283" s="31">
        <f t="shared" si="312"/>
        <v>64.6713063843662</v>
      </c>
      <c r="BO283">
        <f t="shared" si="313"/>
        <v>0</v>
      </c>
      <c r="BP283">
        <f t="shared" si="314"/>
        <v>0</v>
      </c>
    </row>
    <row r="284" spans="14:68">
      <c r="N284" s="7">
        <v>66</v>
      </c>
      <c r="O284" s="18">
        <f t="shared" ref="O284:O318" si="315">10^(3+(N284/100))</f>
        <v>4570.88189614875</v>
      </c>
      <c r="P284" s="86" t="str">
        <f t="shared" si="265"/>
        <v>163,636363636364</v>
      </c>
      <c r="Q284" s="4" t="str">
        <f t="shared" si="266"/>
        <v>1+175,451245784854i</v>
      </c>
      <c r="R284" s="4">
        <f t="shared" si="277"/>
        <v>175.454095556237</v>
      </c>
      <c r="S284" s="4">
        <f t="shared" si="278"/>
        <v>1.56509679945726</v>
      </c>
      <c r="T284" s="4" t="str">
        <f t="shared" si="267"/>
        <v>1+0,450324864181125i</v>
      </c>
      <c r="U284" s="4">
        <f t="shared" si="279"/>
        <v>1.0967189627702</v>
      </c>
      <c r="V284" s="4">
        <f t="shared" si="280"/>
        <v>0.423124050610303</v>
      </c>
      <c r="W284" t="str">
        <f t="shared" si="268"/>
        <v>1-0,430795469561025i</v>
      </c>
      <c r="X284" s="4">
        <f t="shared" si="281"/>
        <v>1.0888455981425</v>
      </c>
      <c r="Y284" s="4">
        <f t="shared" si="282"/>
        <v>-0.40676920345654</v>
      </c>
      <c r="Z284" t="str">
        <f t="shared" si="269"/>
        <v>0,999829445213808+0,0892362044090695i</v>
      </c>
      <c r="AA284" s="4">
        <f t="shared" si="283"/>
        <v>1.00380377549294</v>
      </c>
      <c r="AB284" s="4">
        <f t="shared" si="284"/>
        <v>0.0890155660895345</v>
      </c>
      <c r="AC284" s="67" t="str">
        <f t="shared" si="285"/>
        <v>-0,0742382479693513-1,10701820717736i</v>
      </c>
      <c r="AD284" s="68">
        <f t="shared" si="286"/>
        <v>0.902582746591379</v>
      </c>
      <c r="AE284" s="31">
        <f t="shared" si="287"/>
        <v>-93.8365936697402</v>
      </c>
      <c r="AF284" s="32" t="str">
        <f t="shared" si="288"/>
        <v>748,315388573934</v>
      </c>
      <c r="AG284" s="32" t="str">
        <f t="shared" si="270"/>
        <v>1+142,960274343214i</v>
      </c>
      <c r="AH284" s="32">
        <f t="shared" si="289"/>
        <v>142.963771775534</v>
      </c>
      <c r="AI284" s="32">
        <f t="shared" si="290"/>
        <v>1.56380149067488</v>
      </c>
      <c r="AJ284" s="32" t="str">
        <f t="shared" si="271"/>
        <v>1+0,450324864181125i</v>
      </c>
      <c r="AK284" s="32">
        <f t="shared" si="291"/>
        <v>1.0967189627702</v>
      </c>
      <c r="AL284" s="32">
        <f t="shared" si="292"/>
        <v>0.423124050610303</v>
      </c>
      <c r="AM284" s="32" t="str">
        <f t="shared" si="272"/>
        <v>1-0,0767566214700837i</v>
      </c>
      <c r="AN284" s="32">
        <f t="shared" si="293"/>
        <v>1.00294146336638</v>
      </c>
      <c r="AO284" s="32">
        <f t="shared" si="294"/>
        <v>-0.0766064128616529</v>
      </c>
      <c r="AP284" s="30" t="str">
        <f t="shared" si="295"/>
        <v>1,9931990391772-5,40141675820735i</v>
      </c>
      <c r="AQ284" s="32">
        <f t="shared" si="296"/>
        <v>15.2045923522536</v>
      </c>
      <c r="AR284" s="31">
        <f t="shared" si="297"/>
        <v>-69.7452272420968</v>
      </c>
      <c r="AS284" t="str">
        <f t="shared" si="273"/>
        <v>-0,0000504684572142411</v>
      </c>
      <c r="AT284" t="str">
        <f t="shared" si="274"/>
        <v>0,00645331613402415i</v>
      </c>
      <c r="AU284">
        <f t="shared" si="298"/>
        <v>0.00645331613402415</v>
      </c>
      <c r="AV284">
        <f t="shared" si="299"/>
        <v>1.5707963267949</v>
      </c>
      <c r="AW284" t="str">
        <f t="shared" si="275"/>
        <v>1+0,330397949507566i</v>
      </c>
      <c r="AX284">
        <f t="shared" si="300"/>
        <v>1.05316798519458</v>
      </c>
      <c r="AY284">
        <f t="shared" si="301"/>
        <v>0.319106386616183</v>
      </c>
      <c r="AZ284" t="str">
        <f t="shared" si="276"/>
        <v>1+15,7958338839042i</v>
      </c>
      <c r="BA284">
        <f t="shared" si="302"/>
        <v>15.8274561470849</v>
      </c>
      <c r="BB284">
        <f t="shared" si="303"/>
        <v>1.50757286861865</v>
      </c>
      <c r="BC284" s="30" t="str">
        <f t="shared" si="304"/>
        <v>-0,109044548073141+0,0438486413262945i</v>
      </c>
      <c r="BD284" s="32">
        <f t="shared" si="305"/>
        <v>-18.5969888344414</v>
      </c>
      <c r="BE284" s="31">
        <f t="shared" si="306"/>
        <v>158.094113511502</v>
      </c>
      <c r="BF284" s="30" t="str">
        <f t="shared" si="307"/>
        <v>0,0566365205077573+0,117459053802493i</v>
      </c>
      <c r="BG284" s="68">
        <f t="shared" si="308"/>
        <v>-17.69440608785</v>
      </c>
      <c r="BH284" s="31">
        <f t="shared" si="309"/>
        <v>64.2575198417619</v>
      </c>
      <c r="BI284" s="30" t="str">
        <f t="shared" si="263"/>
        <v>0,0194972976375738+0,676394119114207i</v>
      </c>
      <c r="BJ284" s="68">
        <f t="shared" si="310"/>
        <v>-3.39239648218777</v>
      </c>
      <c r="BK284" s="31">
        <f t="shared" si="264"/>
        <v>88.3488862694053</v>
      </c>
      <c r="BL284" s="32">
        <f t="shared" si="311"/>
        <v>-17.69440608785</v>
      </c>
      <c r="BM284" s="31">
        <f t="shared" si="312"/>
        <v>64.2575198417619</v>
      </c>
      <c r="BO284">
        <f t="shared" si="313"/>
        <v>0</v>
      </c>
      <c r="BP284">
        <f t="shared" si="314"/>
        <v>0</v>
      </c>
    </row>
    <row r="285" spans="14:68">
      <c r="N285" s="7">
        <v>67</v>
      </c>
      <c r="O285" s="18">
        <f t="shared" si="315"/>
        <v>4677.35141287198</v>
      </c>
      <c r="P285" s="86" t="str">
        <f t="shared" si="265"/>
        <v>163,636363636364</v>
      </c>
      <c r="Q285" s="4" t="str">
        <f t="shared" si="266"/>
        <v>1+179,538030298569i</v>
      </c>
      <c r="R285" s="4">
        <f t="shared" si="277"/>
        <v>179.540815202254</v>
      </c>
      <c r="S285" s="4">
        <f t="shared" si="278"/>
        <v>1.56522653382429</v>
      </c>
      <c r="T285" s="4" t="str">
        <f t="shared" si="267"/>
        <v>1+0,460814277766327i</v>
      </c>
      <c r="U285" s="4">
        <f t="shared" si="279"/>
        <v>1.10106757221948</v>
      </c>
      <c r="V285" s="4">
        <f t="shared" si="280"/>
        <v>0.431810601057653</v>
      </c>
      <c r="W285" t="str">
        <f t="shared" si="268"/>
        <v>1-0,440829985108094i</v>
      </c>
      <c r="X285" s="4">
        <f t="shared" si="281"/>
        <v>1.09285455380412</v>
      </c>
      <c r="Y285" s="4">
        <f t="shared" si="282"/>
        <v>-0.415202024643562</v>
      </c>
      <c r="Z285" t="str">
        <f t="shared" si="269"/>
        <v>0,999821407214372+0,0913147826295337i</v>
      </c>
      <c r="AA285" s="4">
        <f t="shared" si="283"/>
        <v>1.00398268702742</v>
      </c>
      <c r="AB285" s="4">
        <f t="shared" si="284"/>
        <v>0.091078415007141</v>
      </c>
      <c r="AC285" s="67" t="str">
        <f t="shared" si="285"/>
        <v>-0,0752042842261599-1,08977058288944i</v>
      </c>
      <c r="AD285" s="68">
        <f t="shared" si="286"/>
        <v>0.7673348400724</v>
      </c>
      <c r="AE285" s="31">
        <f t="shared" si="287"/>
        <v>-93.9476818224247</v>
      </c>
      <c r="AF285" s="32" t="str">
        <f t="shared" si="288"/>
        <v>748,315388573934</v>
      </c>
      <c r="AG285" s="32" t="str">
        <f t="shared" si="270"/>
        <v>1+146,290246909945i</v>
      </c>
      <c r="AH285" s="32">
        <f t="shared" si="289"/>
        <v>146.293664732868</v>
      </c>
      <c r="AI285" s="32">
        <f t="shared" si="290"/>
        <v>1.56396070756638</v>
      </c>
      <c r="AJ285" s="32" t="str">
        <f t="shared" si="271"/>
        <v>1+0,460814277766327i</v>
      </c>
      <c r="AK285" s="32">
        <f t="shared" si="291"/>
        <v>1.10106757221948</v>
      </c>
      <c r="AL285" s="32">
        <f t="shared" si="292"/>
        <v>0.431810601057653</v>
      </c>
      <c r="AM285" s="32" t="str">
        <f t="shared" si="272"/>
        <v>1-0,0785445128614831i</v>
      </c>
      <c r="AN285" s="32">
        <f t="shared" si="293"/>
        <v>1.00307987742784</v>
      </c>
      <c r="AO285" s="32">
        <f t="shared" si="294"/>
        <v>-0.0783835881162786</v>
      </c>
      <c r="AP285" s="30" t="str">
        <f t="shared" si="295"/>
        <v>1,99155557827923-5,2868096165119i</v>
      </c>
      <c r="AQ285" s="32">
        <f t="shared" si="296"/>
        <v>15.0401729491164</v>
      </c>
      <c r="AR285" s="31">
        <f t="shared" si="297"/>
        <v>-69.3584716603915</v>
      </c>
      <c r="AS285" t="str">
        <f t="shared" si="273"/>
        <v>-0,0000504684572142411</v>
      </c>
      <c r="AT285" t="str">
        <f t="shared" si="274"/>
        <v>0,00660363317691924i</v>
      </c>
      <c r="AU285">
        <f t="shared" si="298"/>
        <v>0.00660363317691924</v>
      </c>
      <c r="AV285">
        <f t="shared" si="299"/>
        <v>1.5707963267949</v>
      </c>
      <c r="AW285" t="str">
        <f t="shared" si="275"/>
        <v>1+0,338093906395022i</v>
      </c>
      <c r="AX285">
        <f t="shared" si="300"/>
        <v>1.05560763995977</v>
      </c>
      <c r="AY285">
        <f t="shared" si="301"/>
        <v>0.326028933748867</v>
      </c>
      <c r="AZ285" t="str">
        <f t="shared" si="276"/>
        <v>1+16,1637661206301i</v>
      </c>
      <c r="BA285">
        <f t="shared" si="302"/>
        <v>16.194669962751</v>
      </c>
      <c r="BB285">
        <f t="shared" si="303"/>
        <v>1.50900830770954</v>
      </c>
      <c r="BC285" s="30" t="str">
        <f t="shared" si="304"/>
        <v>-0,108541096555643+0,0443396122108269i</v>
      </c>
      <c r="BD285" s="32">
        <f t="shared" si="305"/>
        <v>-18.6178666980217</v>
      </c>
      <c r="BE285" s="31">
        <f t="shared" si="306"/>
        <v>157.779725378975</v>
      </c>
      <c r="BF285" s="30" t="str">
        <f t="shared" si="307"/>
        <v>0,0564827605196742+0,114950365261721i</v>
      </c>
      <c r="BG285" s="68">
        <f t="shared" si="308"/>
        <v>-17.8505318579493</v>
      </c>
      <c r="BH285" s="31">
        <f t="shared" si="309"/>
        <v>63.8320435565499</v>
      </c>
      <c r="BI285" s="30" t="str">
        <f t="shared" si="263"/>
        <v>0,0182494619106728+0,66214091509433i</v>
      </c>
      <c r="BJ285" s="68">
        <f t="shared" si="310"/>
        <v>-3.57769374890528</v>
      </c>
      <c r="BK285" s="31">
        <f t="shared" si="264"/>
        <v>88.4212537185832</v>
      </c>
      <c r="BL285" s="32">
        <f t="shared" si="311"/>
        <v>-17.8505318579493</v>
      </c>
      <c r="BM285" s="31">
        <f t="shared" si="312"/>
        <v>63.8320435565499</v>
      </c>
      <c r="BO285">
        <f t="shared" si="313"/>
        <v>0</v>
      </c>
      <c r="BP285">
        <f t="shared" si="314"/>
        <v>0</v>
      </c>
    </row>
    <row r="286" spans="14:68">
      <c r="N286" s="7">
        <v>68</v>
      </c>
      <c r="O286" s="18">
        <f t="shared" si="315"/>
        <v>4786.30092322638</v>
      </c>
      <c r="P286" s="86" t="str">
        <f t="shared" si="265"/>
        <v>163,636363636364</v>
      </c>
      <c r="Q286" s="4" t="str">
        <f t="shared" si="266"/>
        <v>1+183,720008252416i</v>
      </c>
      <c r="R286" s="4">
        <f t="shared" si="277"/>
        <v>183.722729764904</v>
      </c>
      <c r="S286" s="4">
        <f t="shared" si="278"/>
        <v>1.56535331525775</v>
      </c>
      <c r="T286" s="4" t="str">
        <f t="shared" si="267"/>
        <v>1+0,4715480211812i</v>
      </c>
      <c r="U286" s="4">
        <f t="shared" si="279"/>
        <v>1.1056027931766</v>
      </c>
      <c r="V286" s="4">
        <f t="shared" si="280"/>
        <v>0.440628065916359</v>
      </c>
      <c r="W286" t="str">
        <f t="shared" si="268"/>
        <v>1-0,451098234548342i</v>
      </c>
      <c r="X286" s="4">
        <f t="shared" si="281"/>
        <v>1.0970367437842</v>
      </c>
      <c r="Y286" s="4">
        <f t="shared" si="282"/>
        <v>-0.423766843450565</v>
      </c>
      <c r="Z286" t="str">
        <f t="shared" si="269"/>
        <v>0,999812990395692+0,0934417771564422i</v>
      </c>
      <c r="AA286" s="4">
        <f t="shared" si="283"/>
        <v>1.00416999630647</v>
      </c>
      <c r="AB286" s="4">
        <f t="shared" si="284"/>
        <v>0.0931885614264997</v>
      </c>
      <c r="AC286" s="67" t="str">
        <f t="shared" si="285"/>
        <v>-0,0761932433684108-1,07309457746458i</v>
      </c>
      <c r="AD286" s="68">
        <f t="shared" si="286"/>
        <v>0.634599812570247</v>
      </c>
      <c r="AE286" s="31">
        <f t="shared" si="287"/>
        <v>-94.0613727949935</v>
      </c>
      <c r="AF286" s="32" t="str">
        <f t="shared" si="288"/>
        <v>748,315388573934</v>
      </c>
      <c r="AG286" s="32" t="str">
        <f t="shared" si="270"/>
        <v>1+149,697784501968i</v>
      </c>
      <c r="AH286" s="32">
        <f t="shared" si="289"/>
        <v>149.701124527499</v>
      </c>
      <c r="AI286" s="32">
        <f t="shared" si="290"/>
        <v>1.56411630057385</v>
      </c>
      <c r="AJ286" s="32" t="str">
        <f t="shared" si="271"/>
        <v>1+0,4715480211812i</v>
      </c>
      <c r="AK286" s="32">
        <f t="shared" si="291"/>
        <v>1.1056027931766</v>
      </c>
      <c r="AL286" s="32">
        <f t="shared" si="292"/>
        <v>0.440628065916359</v>
      </c>
      <c r="AM286" s="32" t="str">
        <f t="shared" si="272"/>
        <v>1-0,0803740495932613i</v>
      </c>
      <c r="AN286" s="32">
        <f t="shared" si="293"/>
        <v>1.00322479427495</v>
      </c>
      <c r="AO286" s="32">
        <f t="shared" si="294"/>
        <v>-0.0802016455438172</v>
      </c>
      <c r="AP286" s="30" t="str">
        <f t="shared" si="295"/>
        <v>1,9899860785495-5,17500459978249i</v>
      </c>
      <c r="AQ286" s="32">
        <f t="shared" si="296"/>
        <v>14.8771399564992</v>
      </c>
      <c r="AR286" s="31">
        <f t="shared" si="297"/>
        <v>-68.9663499781426</v>
      </c>
      <c r="AS286" t="str">
        <f t="shared" si="273"/>
        <v>-0,0000504684572142411</v>
      </c>
      <c r="AT286" t="str">
        <f t="shared" si="274"/>
        <v>0,00675745155353415i</v>
      </c>
      <c r="AU286">
        <f t="shared" si="298"/>
        <v>0.00675745155353415</v>
      </c>
      <c r="AV286">
        <f t="shared" si="299"/>
        <v>1.5707963267949</v>
      </c>
      <c r="AW286" t="str">
        <f t="shared" si="275"/>
        <v>1+0,345969125146852i</v>
      </c>
      <c r="AX286">
        <f t="shared" si="300"/>
        <v>1.05815624345126</v>
      </c>
      <c r="AY286">
        <f t="shared" si="301"/>
        <v>0.333079336078434</v>
      </c>
      <c r="AZ286" t="str">
        <f t="shared" si="276"/>
        <v>1+16,5402686001058i</v>
      </c>
      <c r="BA286">
        <f t="shared" si="302"/>
        <v>16.5704702819095</v>
      </c>
      <c r="BB286">
        <f t="shared" si="303"/>
        <v>1.51041131861614</v>
      </c>
      <c r="BC286" s="30" t="str">
        <f t="shared" si="304"/>
        <v>-0,108018876731562+0,0448397599580439i</v>
      </c>
      <c r="BD286" s="32">
        <f t="shared" si="305"/>
        <v>-18.6395575298685</v>
      </c>
      <c r="BE286" s="31">
        <f t="shared" si="306"/>
        <v>157.456153685181</v>
      </c>
      <c r="BF286" s="30" t="str">
        <f t="shared" si="307"/>
        <v>0,0563476118289806+0,11249798414139i</v>
      </c>
      <c r="BG286" s="68">
        <f t="shared" si="308"/>
        <v>-18.0049577172982</v>
      </c>
      <c r="BH286" s="31">
        <f t="shared" si="309"/>
        <v>63.3947808901872</v>
      </c>
      <c r="BI286" s="30" t="str">
        <f t="shared" si="263"/>
        <v>0,017089903119657+0,64822868203118i</v>
      </c>
      <c r="BJ286" s="68">
        <f t="shared" si="310"/>
        <v>-3.76241757336933</v>
      </c>
      <c r="BK286" s="31">
        <f t="shared" si="264"/>
        <v>88.489803707038</v>
      </c>
      <c r="BL286" s="32">
        <f t="shared" si="311"/>
        <v>-18.0049577172982</v>
      </c>
      <c r="BM286" s="31">
        <f t="shared" si="312"/>
        <v>63.3947808901872</v>
      </c>
      <c r="BO286">
        <f t="shared" si="313"/>
        <v>0</v>
      </c>
      <c r="BP286">
        <f t="shared" si="314"/>
        <v>0</v>
      </c>
    </row>
    <row r="287" spans="14:68">
      <c r="N287" s="7">
        <v>69</v>
      </c>
      <c r="O287" s="18">
        <f t="shared" si="315"/>
        <v>4897.78819368446</v>
      </c>
      <c r="P287" s="86" t="str">
        <f t="shared" si="265"/>
        <v>163,636363636364</v>
      </c>
      <c r="Q287" s="4" t="str">
        <f t="shared" si="266"/>
        <v>1+187,999396986459i</v>
      </c>
      <c r="R287" s="4">
        <f t="shared" si="277"/>
        <v>188.002056550646</v>
      </c>
      <c r="S287" s="4">
        <f t="shared" si="278"/>
        <v>1.56547721096254</v>
      </c>
      <c r="T287" s="4" t="str">
        <f t="shared" si="267"/>
        <v>1+0,482531785598578i</v>
      </c>
      <c r="U287" s="4">
        <f t="shared" si="279"/>
        <v>1.11033189817863</v>
      </c>
      <c r="V287" s="4">
        <f t="shared" si="280"/>
        <v>0.449575635005314</v>
      </c>
      <c r="W287" t="str">
        <f t="shared" si="268"/>
        <v>1-0,461605662243537i</v>
      </c>
      <c r="X287" s="4">
        <f t="shared" si="281"/>
        <v>1.10139901371633</v>
      </c>
      <c r="Y287" s="4">
        <f t="shared" si="282"/>
        <v>-0.43246317375965</v>
      </c>
      <c r="Z287" t="str">
        <f t="shared" si="269"/>
        <v>0,99980417690457+0,095618315750447i</v>
      </c>
      <c r="AA287" s="4">
        <f t="shared" si="283"/>
        <v>1.00436609583497</v>
      </c>
      <c r="AB287" s="4">
        <f t="shared" si="284"/>
        <v>0.0953470538366803</v>
      </c>
      <c r="AC287" s="67" t="str">
        <f t="shared" si="285"/>
        <v>-0,0772071451858819-1,05698093009556i</v>
      </c>
      <c r="AD287" s="68">
        <f t="shared" si="286"/>
        <v>0.504453517609882</v>
      </c>
      <c r="AE287" s="31">
        <f t="shared" si="287"/>
        <v>-94.1777490794553</v>
      </c>
      <c r="AF287" s="32" t="str">
        <f t="shared" si="288"/>
        <v>748,315388573934</v>
      </c>
      <c r="AG287" s="32" t="str">
        <f t="shared" si="270"/>
        <v>1+153,184693840818i</v>
      </c>
      <c r="AH287" s="32">
        <f t="shared" si="289"/>
        <v>153.187957839724</v>
      </c>
      <c r="AI287" s="32">
        <f t="shared" si="290"/>
        <v>1.5642683521646</v>
      </c>
      <c r="AJ287" s="32" t="str">
        <f t="shared" si="271"/>
        <v>1+0,482531785598578i</v>
      </c>
      <c r="AK287" s="32">
        <f t="shared" si="291"/>
        <v>1.11033189817863</v>
      </c>
      <c r="AL287" s="32">
        <f t="shared" si="292"/>
        <v>0.449575635005314</v>
      </c>
      <c r="AM287" s="32" t="str">
        <f t="shared" si="272"/>
        <v>1-0,0822462017100099i</v>
      </c>
      <c r="AN287" s="32">
        <f t="shared" si="293"/>
        <v>1.00337651840958</v>
      </c>
      <c r="AO287" s="32">
        <f t="shared" si="294"/>
        <v>-0.0820615010012788</v>
      </c>
      <c r="AP287" s="30" t="str">
        <f t="shared" si="295"/>
        <v>1,98848721178158-5,06594249502477i</v>
      </c>
      <c r="AQ287" s="32">
        <f t="shared" si="296"/>
        <v>14.715535990163</v>
      </c>
      <c r="AR287" s="31">
        <f t="shared" si="297"/>
        <v>-68.5689658150791</v>
      </c>
      <c r="AS287" t="str">
        <f t="shared" si="273"/>
        <v>-0,0000504684572142411</v>
      </c>
      <c r="AT287" t="str">
        <f t="shared" si="274"/>
        <v>0,00691485282040819i</v>
      </c>
      <c r="AU287">
        <f t="shared" si="298"/>
        <v>0.00691485282040819</v>
      </c>
      <c r="AV287">
        <f t="shared" si="299"/>
        <v>1.5707963267949</v>
      </c>
      <c r="AW287" t="str">
        <f t="shared" si="275"/>
        <v>1+0,354027781308276i</v>
      </c>
      <c r="AX287">
        <f t="shared" si="300"/>
        <v>1.0608183963045</v>
      </c>
      <c r="AY287">
        <f t="shared" si="301"/>
        <v>0.340258527207128</v>
      </c>
      <c r="AZ287" t="str">
        <f t="shared" si="276"/>
        <v>1+16,9255409489297i</v>
      </c>
      <c r="BA287">
        <f t="shared" si="302"/>
        <v>16.9550563671695</v>
      </c>
      <c r="BB287">
        <f t="shared" si="303"/>
        <v>1.51178262312701</v>
      </c>
      <c r="BC287" s="30" t="str">
        <f t="shared" si="304"/>
        <v>-0,107477404338966+0,0453485454100448i</v>
      </c>
      <c r="BD287" s="32">
        <f t="shared" si="305"/>
        <v>-18.662094329702</v>
      </c>
      <c r="BE287" s="31">
        <f t="shared" si="306"/>
        <v>157.123386294089</v>
      </c>
      <c r="BF287" s="30" t="str">
        <f t="shared" si="307"/>
        <v>0,0562305712669902+0,110100335073015i</v>
      </c>
      <c r="BG287" s="68">
        <f t="shared" si="308"/>
        <v>-18.1576408120921</v>
      </c>
      <c r="BH287" s="31">
        <f t="shared" si="309"/>
        <v>62.9456372146335</v>
      </c>
      <c r="BI287" s="30" t="str">
        <f t="shared" si="263"/>
        <v>0,0160156791967944+0,634649352516498i</v>
      </c>
      <c r="BJ287" s="68">
        <f t="shared" si="310"/>
        <v>-3.94655833953904</v>
      </c>
      <c r="BK287" s="31">
        <f t="shared" si="264"/>
        <v>88.5544204790097</v>
      </c>
      <c r="BL287" s="32">
        <f t="shared" si="311"/>
        <v>-18.1576408120921</v>
      </c>
      <c r="BM287" s="31">
        <f t="shared" si="312"/>
        <v>62.9456372146335</v>
      </c>
      <c r="BO287">
        <f t="shared" si="313"/>
        <v>0</v>
      </c>
      <c r="BP287">
        <f t="shared" si="314"/>
        <v>0</v>
      </c>
    </row>
    <row r="288" spans="14:68">
      <c r="N288" s="7">
        <v>70</v>
      </c>
      <c r="O288" s="18">
        <f t="shared" si="315"/>
        <v>5011.87233627273</v>
      </c>
      <c r="P288" s="86" t="str">
        <f t="shared" si="265"/>
        <v>163,636363636364</v>
      </c>
      <c r="Q288" s="4" t="str">
        <f t="shared" si="266"/>
        <v>1+192,378465489251i</v>
      </c>
      <c r="R288" s="4">
        <f t="shared" si="277"/>
        <v>192.381064515193</v>
      </c>
      <c r="S288" s="4">
        <f t="shared" si="278"/>
        <v>1.56559828661457</v>
      </c>
      <c r="T288" s="4" t="str">
        <f t="shared" si="267"/>
        <v>1+0,493771394755745i</v>
      </c>
      <c r="U288" s="4">
        <f t="shared" si="279"/>
        <v>1.11526238629259</v>
      </c>
      <c r="V288" s="4">
        <f t="shared" si="280"/>
        <v>0.458652320779918</v>
      </c>
      <c r="W288" t="str">
        <f t="shared" si="268"/>
        <v>1-0,47235783937093i</v>
      </c>
      <c r="X288" s="4">
        <f t="shared" si="281"/>
        <v>1.10594842936512</v>
      </c>
      <c r="Y288" s="4">
        <f t="shared" si="282"/>
        <v>-0.441290364087483</v>
      </c>
      <c r="Z288" t="str">
        <f t="shared" si="269"/>
        <v>0,999794948046407+0,097845552441121i</v>
      </c>
      <c r="AA288" s="4">
        <f t="shared" si="283"/>
        <v>1.00457139630373</v>
      </c>
      <c r="AB288" s="4">
        <f t="shared" si="284"/>
        <v>0.0975549614161821</v>
      </c>
      <c r="AC288" s="67" t="str">
        <f t="shared" si="285"/>
        <v>-0,0782480550036299-1,04142064794879i</v>
      </c>
      <c r="AD288" s="68">
        <f t="shared" si="286"/>
        <v>0.376972396052847</v>
      </c>
      <c r="AE288" s="31">
        <f t="shared" si="287"/>
        <v>-94.2968949530711</v>
      </c>
      <c r="AF288" s="32" t="str">
        <f t="shared" si="288"/>
        <v>748,315388573934</v>
      </c>
      <c r="AG288" s="32" t="str">
        <f t="shared" si="270"/>
        <v>1+156,752823731982i</v>
      </c>
      <c r="AH288" s="32">
        <f t="shared" si="289"/>
        <v>156.756013434732</v>
      </c>
      <c r="AI288" s="32">
        <f t="shared" si="290"/>
        <v>1.56441694293027</v>
      </c>
      <c r="AJ288" s="32" t="str">
        <f t="shared" si="271"/>
        <v>1+0,493771394755745i</v>
      </c>
      <c r="AK288" s="32">
        <f t="shared" si="291"/>
        <v>1.11526238629259</v>
      </c>
      <c r="AL288" s="32">
        <f t="shared" si="292"/>
        <v>0.458652320779918</v>
      </c>
      <c r="AM288" s="32" t="str">
        <f t="shared" si="272"/>
        <v>1-0,0841619618515627i</v>
      </c>
      <c r="AN288" s="32">
        <f t="shared" si="293"/>
        <v>1.00353536849615</v>
      </c>
      <c r="AO288" s="32">
        <f t="shared" si="294"/>
        <v>-0.0839640891131214</v>
      </c>
      <c r="AP288" s="30" t="str">
        <f t="shared" si="295"/>
        <v>1,98705579951068-4,95956553906755i</v>
      </c>
      <c r="AQ288" s="32">
        <f t="shared" si="296"/>
        <v>14.5554040953069</v>
      </c>
      <c r="AR288" s="31">
        <f t="shared" si="297"/>
        <v>-68.1664339209355</v>
      </c>
      <c r="AS288" t="str">
        <f t="shared" si="273"/>
        <v>-0,0000504684572142411</v>
      </c>
      <c r="AT288" t="str">
        <f t="shared" si="274"/>
        <v>0,00707592043377653i</v>
      </c>
      <c r="AU288">
        <f t="shared" si="298"/>
        <v>0.00707592043377653</v>
      </c>
      <c r="AV288">
        <f t="shared" si="299"/>
        <v>1.5707963267949</v>
      </c>
      <c r="AW288" t="str">
        <f t="shared" si="275"/>
        <v>1+0,362274147685463i</v>
      </c>
      <c r="AX288">
        <f t="shared" si="300"/>
        <v>1.06359887085368</v>
      </c>
      <c r="AY288">
        <f t="shared" si="301"/>
        <v>0.347567352530648</v>
      </c>
      <c r="AZ288" t="str">
        <f t="shared" si="276"/>
        <v>1+17,3197874436007i</v>
      </c>
      <c r="BA288">
        <f t="shared" si="302"/>
        <v>17.3486321389183</v>
      </c>
      <c r="BB288">
        <f t="shared" si="303"/>
        <v>1.51312292768465</v>
      </c>
      <c r="BC288" s="30" t="str">
        <f t="shared" si="304"/>
        <v>-0,106916201084356+0,0458653985602965i</v>
      </c>
      <c r="BD288" s="32">
        <f t="shared" si="305"/>
        <v>-18.6855108239807</v>
      </c>
      <c r="BE288" s="31">
        <f t="shared" si="306"/>
        <v>156.781415244268</v>
      </c>
      <c r="BF288" s="30" t="str">
        <f t="shared" si="307"/>
        <v>0,0561311578703213+0,107755861180184i</v>
      </c>
      <c r="BG288" s="68">
        <f t="shared" si="308"/>
        <v>-18.3085384279278</v>
      </c>
      <c r="BH288" s="31">
        <f t="shared" si="309"/>
        <v>62.4845202911966</v>
      </c>
      <c r="BI288" s="30" t="str">
        <f t="shared" si="263"/>
        <v>0,0150239927089253+0,621395012672095i</v>
      </c>
      <c r="BJ288" s="68">
        <f t="shared" si="310"/>
        <v>-4.13010672867383</v>
      </c>
      <c r="BK288" s="31">
        <f t="shared" si="264"/>
        <v>88.6149813233321</v>
      </c>
      <c r="BL288" s="32">
        <f t="shared" si="311"/>
        <v>-18.3085384279278</v>
      </c>
      <c r="BM288" s="31">
        <f t="shared" si="312"/>
        <v>62.4845202911966</v>
      </c>
      <c r="BO288">
        <f t="shared" si="313"/>
        <v>0</v>
      </c>
      <c r="BP288">
        <f t="shared" si="314"/>
        <v>0</v>
      </c>
    </row>
    <row r="289" spans="14:68">
      <c r="N289" s="7">
        <v>71</v>
      </c>
      <c r="O289" s="18">
        <f t="shared" si="315"/>
        <v>5128.61383991365</v>
      </c>
      <c r="P289" s="86" t="str">
        <f t="shared" si="265"/>
        <v>163,636363636364</v>
      </c>
      <c r="Q289" s="4" t="str">
        <f t="shared" si="266"/>
        <v>1+196,859535600876i</v>
      </c>
      <c r="R289" s="4">
        <f t="shared" si="277"/>
        <v>196.862075466537</v>
      </c>
      <c r="S289" s="4">
        <f t="shared" si="278"/>
        <v>1.56571660639554</v>
      </c>
      <c r="T289" s="4" t="str">
        <f t="shared" si="267"/>
        <v>1+0,505272808042247i</v>
      </c>
      <c r="U289" s="4">
        <f t="shared" si="279"/>
        <v>1.1204019861402</v>
      </c>
      <c r="V289" s="4">
        <f t="shared" si="280"/>
        <v>0.46785695249671</v>
      </c>
      <c r="W289" t="str">
        <f t="shared" si="268"/>
        <v>1-0,48336046687715i</v>
      </c>
      <c r="X289" s="4">
        <f t="shared" si="281"/>
        <v>1.11069228003966</v>
      </c>
      <c r="Y289" s="4">
        <f t="shared" si="282"/>
        <v>-0.450247591243667</v>
      </c>
      <c r="Z289" t="str">
        <f t="shared" si="269"/>
        <v>0,99978528424556+0,100124668138838i</v>
      </c>
      <c r="AA289" s="4">
        <f t="shared" si="283"/>
        <v>1.00478632741687</v>
      </c>
      <c r="AB289" s="4">
        <f t="shared" si="284"/>
        <v>0.0998133742565932</v>
      </c>
      <c r="AC289" s="67" t="str">
        <f t="shared" si="285"/>
        <v>-0,0793180873692044-1,02640499941519i</v>
      </c>
      <c r="AD289" s="68">
        <f t="shared" si="286"/>
        <v>0.252233340184729</v>
      </c>
      <c r="AE289" s="31">
        <f t="shared" si="287"/>
        <v>-94.4188964641525</v>
      </c>
      <c r="AF289" s="32" t="str">
        <f t="shared" si="288"/>
        <v>748,315388573934</v>
      </c>
      <c r="AG289" s="32" t="str">
        <f t="shared" si="270"/>
        <v>1+160,404066045158i</v>
      </c>
      <c r="AH289" s="32">
        <f t="shared" si="289"/>
        <v>160.407183142836</v>
      </c>
      <c r="AI289" s="32">
        <f t="shared" si="290"/>
        <v>1.56456215162938</v>
      </c>
      <c r="AJ289" s="32" t="str">
        <f t="shared" si="271"/>
        <v>1+0,505272808042247i</v>
      </c>
      <c r="AK289" s="32">
        <f t="shared" si="291"/>
        <v>1.1204019861402</v>
      </c>
      <c r="AL289" s="32">
        <f t="shared" si="292"/>
        <v>0.46785695249671</v>
      </c>
      <c r="AM289" s="32" t="str">
        <f t="shared" si="272"/>
        <v>1-0,0861223457793042i</v>
      </c>
      <c r="AN289" s="32">
        <f t="shared" si="293"/>
        <v>1.00370167801122</v>
      </c>
      <c r="AO289" s="32">
        <f t="shared" si="294"/>
        <v>-0.0859103635295503</v>
      </c>
      <c r="AP289" s="30" t="str">
        <f t="shared" si="295"/>
        <v>1,98568880627879-4,85581738823668i</v>
      </c>
      <c r="AQ289" s="32">
        <f t="shared" si="296"/>
        <v>14.3967876825444</v>
      </c>
      <c r="AR289" s="31">
        <f t="shared" si="297"/>
        <v>-67.7588805270344</v>
      </c>
      <c r="AS289" t="str">
        <f t="shared" si="273"/>
        <v>-0,0000504684572142411</v>
      </c>
      <c r="AT289" t="str">
        <f t="shared" si="274"/>
        <v>0,00724073979381971i</v>
      </c>
      <c r="AU289">
        <f t="shared" si="298"/>
        <v>0.00724073979381971</v>
      </c>
      <c r="AV289">
        <f t="shared" si="299"/>
        <v>1.5707963267949</v>
      </c>
      <c r="AW289" t="str">
        <f t="shared" si="275"/>
        <v>1+0,370712596611017i</v>
      </c>
      <c r="AX289">
        <f t="shared" si="300"/>
        <v>1.06650261569585</v>
      </c>
      <c r="AY289">
        <f t="shared" si="301"/>
        <v>0.355006562888395</v>
      </c>
      <c r="AZ289" t="str">
        <f t="shared" si="276"/>
        <v>1+17,7232171188288i</v>
      </c>
      <c r="BA289">
        <f t="shared" si="302"/>
        <v>17.7514062834792</v>
      </c>
      <c r="BB289">
        <f t="shared" si="303"/>
        <v>1.51443292366342</v>
      </c>
      <c r="BC289" s="30" t="str">
        <f t="shared" si="304"/>
        <v>-0,106334796547846+0,046389717709647i</v>
      </c>
      <c r="BD289" s="32">
        <f t="shared" si="305"/>
        <v>-18.7098414575071</v>
      </c>
      <c r="BE289" s="31">
        <f t="shared" si="306"/>
        <v>156.430237128621</v>
      </c>
      <c r="BF289" s="30" t="str">
        <f t="shared" si="307"/>
        <v>0,0560489108616097+0,10546302310618i</v>
      </c>
      <c r="BG289" s="68">
        <f t="shared" si="308"/>
        <v>-18.4576081173223</v>
      </c>
      <c r="BH289" s="31">
        <f t="shared" si="309"/>
        <v>62.0113406644686</v>
      </c>
      <c r="BI289" s="30" t="str">
        <f t="shared" si="263"/>
        <v>0,0141121826669046+0,608457897234119i</v>
      </c>
      <c r="BJ289" s="68">
        <f t="shared" si="310"/>
        <v>-4.31305377496264</v>
      </c>
      <c r="BK289" s="31">
        <f t="shared" si="264"/>
        <v>88.6713566015867</v>
      </c>
      <c r="BL289" s="32">
        <f t="shared" si="311"/>
        <v>-18.4576081173223</v>
      </c>
      <c r="BM289" s="31">
        <f t="shared" si="312"/>
        <v>62.0113406644686</v>
      </c>
      <c r="BO289">
        <f t="shared" si="313"/>
        <v>0</v>
      </c>
      <c r="BP289">
        <f t="shared" si="314"/>
        <v>0</v>
      </c>
    </row>
    <row r="290" spans="14:68">
      <c r="N290" s="7">
        <v>72</v>
      </c>
      <c r="O290" s="18">
        <f t="shared" si="315"/>
        <v>5248.07460249773</v>
      </c>
      <c r="P290" s="86" t="str">
        <f t="shared" si="265"/>
        <v>163,636363636364</v>
      </c>
      <c r="Q290" s="4" t="str">
        <f t="shared" si="266"/>
        <v>1+201,44498324402i</v>
      </c>
      <c r="R290" s="4">
        <f t="shared" si="277"/>
        <v>201.447465296001</v>
      </c>
      <c r="S290" s="4">
        <f t="shared" si="278"/>
        <v>1.56583223302692</v>
      </c>
      <c r="T290" s="4" t="str">
        <f t="shared" si="267"/>
        <v>1+0,517042123659651i</v>
      </c>
      <c r="U290" s="4">
        <f t="shared" si="279"/>
        <v>1.1257586587002</v>
      </c>
      <c r="V290" s="4">
        <f t="shared" si="280"/>
        <v>0.477188170715733</v>
      </c>
      <c r="W290" t="str">
        <f t="shared" si="268"/>
        <v>1-0,494619378500942i</v>
      </c>
      <c r="X290" s="4">
        <f t="shared" si="281"/>
        <v>1.11563808181178</v>
      </c>
      <c r="Y290" s="4">
        <f t="shared" si="282"/>
        <v>-0.459333854228976</v>
      </c>
      <c r="Z290" t="str">
        <f t="shared" si="269"/>
        <v>0,999775165003809+0,102456871260909i</v>
      </c>
      <c r="AA290" s="4">
        <f t="shared" si="283"/>
        <v>1.00501133875542</v>
      </c>
      <c r="AB290" s="4">
        <f t="shared" si="284"/>
        <v>0.102123403574037</v>
      </c>
      <c r="AC290" s="67" t="str">
        <f t="shared" si="285"/>
        <v>-0,0804194097802706-1,01192550736546i</v>
      </c>
      <c r="AD290" s="68">
        <f t="shared" si="286"/>
        <v>0.130313547639515</v>
      </c>
      <c r="AE290" s="31">
        <f t="shared" si="287"/>
        <v>-94.5438414115095</v>
      </c>
      <c r="AF290" s="32" t="str">
        <f t="shared" si="288"/>
        <v>748,315388573934</v>
      </c>
      <c r="AG290" s="32" t="str">
        <f t="shared" si="270"/>
        <v>1+164,14035671735i</v>
      </c>
      <c r="AH290" s="32">
        <f t="shared" si="289"/>
        <v>164.143402862555</v>
      </c>
      <c r="AI290" s="32">
        <f t="shared" si="290"/>
        <v>1.564704055229</v>
      </c>
      <c r="AJ290" s="32" t="str">
        <f t="shared" si="271"/>
        <v>1+0,517042123659651i</v>
      </c>
      <c r="AK290" s="32">
        <f t="shared" si="291"/>
        <v>1.1257586587002</v>
      </c>
      <c r="AL290" s="32">
        <f t="shared" si="292"/>
        <v>0.477188170715733</v>
      </c>
      <c r="AM290" s="32" t="str">
        <f t="shared" si="272"/>
        <v>1-0,0881283929147421i</v>
      </c>
      <c r="AN290" s="32">
        <f t="shared" si="293"/>
        <v>1.00387579592185</v>
      </c>
      <c r="AO290" s="32">
        <f t="shared" si="294"/>
        <v>-0.0879012971786052</v>
      </c>
      <c r="AP290" s="30" t="str">
        <f t="shared" si="295"/>
        <v>1,98438333320257-4,75464308876143i</v>
      </c>
      <c r="AQ290" s="32">
        <f t="shared" si="296"/>
        <v>14.2397304591641</v>
      </c>
      <c r="AR290" s="31">
        <f t="shared" si="297"/>
        <v>-67.3464436781062</v>
      </c>
      <c r="AS290" t="str">
        <f t="shared" si="273"/>
        <v>-0,0000504684572142411</v>
      </c>
      <c r="AT290" t="str">
        <f t="shared" si="274"/>
        <v>0,0074093982899441i</v>
      </c>
      <c r="AU290">
        <f t="shared" si="298"/>
        <v>0.0074093982899441</v>
      </c>
      <c r="AV290">
        <f t="shared" si="299"/>
        <v>1.5707963267949</v>
      </c>
      <c r="AW290" t="str">
        <f t="shared" si="275"/>
        <v>1+0,379347602262256i</v>
      </c>
      <c r="AX290">
        <f t="shared" si="300"/>
        <v>1.06953476023088</v>
      </c>
      <c r="AY290">
        <f t="shared" si="301"/>
        <v>0.362576808070576</v>
      </c>
      <c r="AZ290" t="str">
        <f t="shared" si="276"/>
        <v>1+18,1360438783678i</v>
      </c>
      <c r="BA290">
        <f t="shared" si="302"/>
        <v>18.1635923637942</v>
      </c>
      <c r="BB290">
        <f t="shared" si="303"/>
        <v>1.51571328764578</v>
      </c>
      <c r="BC290" s="30" t="str">
        <f t="shared" si="304"/>
        <v>-0,105732730213361+0,0469208687139023i</v>
      </c>
      <c r="BD290" s="32">
        <f t="shared" si="305"/>
        <v>-18.7351213816517</v>
      </c>
      <c r="BE290" s="31">
        <f t="shared" si="306"/>
        <v>156.069853482233</v>
      </c>
      <c r="BF290" s="30" t="str">
        <f t="shared" si="307"/>
        <v>0,0559833876375588+0,103220298097941i</v>
      </c>
      <c r="BG290" s="68">
        <f t="shared" si="308"/>
        <v>-18.6048078340122</v>
      </c>
      <c r="BH290" s="31">
        <f t="shared" si="309"/>
        <v>61.5260120707236</v>
      </c>
      <c r="BI290" s="30" t="str">
        <f t="shared" si="263"/>
        <v>0,0132777165398406+0,595830384820087i</v>
      </c>
      <c r="BJ290" s="68">
        <f t="shared" si="310"/>
        <v>-4.49539092248759</v>
      </c>
      <c r="BK290" s="31">
        <f t="shared" si="264"/>
        <v>88.7234098041269</v>
      </c>
      <c r="BL290" s="32">
        <f t="shared" si="311"/>
        <v>-18.6048078340122</v>
      </c>
      <c r="BM290" s="31">
        <f t="shared" si="312"/>
        <v>61.5260120707236</v>
      </c>
      <c r="BO290">
        <f t="shared" si="313"/>
        <v>0</v>
      </c>
      <c r="BP290">
        <f t="shared" si="314"/>
        <v>0</v>
      </c>
    </row>
    <row r="291" spans="14:68">
      <c r="N291" s="7">
        <v>73</v>
      </c>
      <c r="O291" s="18">
        <f t="shared" si="315"/>
        <v>5370.31796370253</v>
      </c>
      <c r="P291" s="86" t="str">
        <f t="shared" si="265"/>
        <v>163,636363636364</v>
      </c>
      <c r="Q291" s="4" t="str">
        <f t="shared" si="266"/>
        <v>1+206,137239683719i</v>
      </c>
      <c r="R291" s="4">
        <f t="shared" si="277"/>
        <v>206.139665237972</v>
      </c>
      <c r="S291" s="4">
        <f t="shared" si="278"/>
        <v>1.5659452278031</v>
      </c>
      <c r="T291" s="4" t="str">
        <f t="shared" si="267"/>
        <v>1+0,529085581854879i</v>
      </c>
      <c r="U291" s="4">
        <f t="shared" si="279"/>
        <v>1.13134059987553</v>
      </c>
      <c r="V291" s="4">
        <f t="shared" si="280"/>
        <v>0.486644422193911</v>
      </c>
      <c r="W291" t="str">
        <f t="shared" si="268"/>
        <v>1-0,506140543866275i</v>
      </c>
      <c r="X291" s="4">
        <f t="shared" si="281"/>
        <v>1.12079358052464</v>
      </c>
      <c r="Y291" s="4">
        <f t="shared" si="282"/>
        <v>-0.468547968423342</v>
      </c>
      <c r="Z291" t="str">
        <f t="shared" si="269"/>
        <v>0,999764568856888+0,1048433983723i</v>
      </c>
      <c r="AA291" s="4">
        <f t="shared" si="283"/>
        <v>1.00524690067856</v>
      </c>
      <c r="AB291" s="4">
        <f t="shared" si="284"/>
        <v>0.104486181906985</v>
      </c>
      <c r="AC291" s="67" t="str">
        <f t="shared" si="285"/>
        <v>-0,0815542464546812-0,9979739423981i</v>
      </c>
      <c r="AD291" s="68">
        <f t="shared" si="286"/>
        <v>0.011290365212152</v>
      </c>
      <c r="AE291" s="31">
        <f t="shared" si="287"/>
        <v>-94.6718193172693</v>
      </c>
      <c r="AF291" s="32" t="str">
        <f t="shared" si="288"/>
        <v>748,315388573934</v>
      </c>
      <c r="AG291" s="32" t="str">
        <f t="shared" si="270"/>
        <v>1+167,963676779327i</v>
      </c>
      <c r="AH291" s="32">
        <f t="shared" si="289"/>
        <v>167.966653587045</v>
      </c>
      <c r="AI291" s="32">
        <f t="shared" si="290"/>
        <v>1.56484272894542</v>
      </c>
      <c r="AJ291" s="32" t="str">
        <f t="shared" si="271"/>
        <v>1+0,529085581854879i</v>
      </c>
      <c r="AK291" s="32">
        <f t="shared" si="291"/>
        <v>1.13134059987553</v>
      </c>
      <c r="AL291" s="32">
        <f t="shared" si="292"/>
        <v>0.486644422193911</v>
      </c>
      <c r="AM291" s="32" t="str">
        <f t="shared" si="272"/>
        <v>1-0,0901811668906203i</v>
      </c>
      <c r="AN291" s="32">
        <f t="shared" si="293"/>
        <v>1.00405808739423</v>
      </c>
      <c r="AO291" s="32">
        <f t="shared" si="294"/>
        <v>-0.0899378825110717</v>
      </c>
      <c r="AP291" s="30" t="str">
        <f t="shared" si="295"/>
        <v>1,98313661183017-4,65598904789913i</v>
      </c>
      <c r="AQ291" s="32">
        <f t="shared" si="296"/>
        <v>14.0842763557493</v>
      </c>
      <c r="AR291" s="31">
        <f t="shared" si="297"/>
        <v>-66.9292735412413</v>
      </c>
      <c r="AS291" t="str">
        <f t="shared" si="273"/>
        <v>-0,0000504684572142411</v>
      </c>
      <c r="AT291" t="str">
        <f t="shared" si="274"/>
        <v>0,0075819853471168i</v>
      </c>
      <c r="AU291">
        <f t="shared" si="298"/>
        <v>0.0075819853471168</v>
      </c>
      <c r="AV291">
        <f t="shared" si="299"/>
        <v>1.5707963267949</v>
      </c>
      <c r="AW291" t="str">
        <f t="shared" si="275"/>
        <v>1+0,388183743033473i</v>
      </c>
      <c r="AX291">
        <f t="shared" si="300"/>
        <v>1.0727006191643</v>
      </c>
      <c r="AY291">
        <f t="shared" si="301"/>
        <v>0.370278630200616</v>
      </c>
      <c r="AZ291" t="str">
        <f t="shared" si="276"/>
        <v>1+18,55848660843i</v>
      </c>
      <c r="BA291">
        <f t="shared" si="302"/>
        <v>18.585408932689</v>
      </c>
      <c r="BB291">
        <f t="shared" si="303"/>
        <v>1.51696468169664</v>
      </c>
      <c r="BC291" s="30" t="str">
        <f t="shared" si="304"/>
        <v>-0,105109553622731+0,0474581843364885i</v>
      </c>
      <c r="BD291" s="32">
        <f t="shared" si="305"/>
        <v>-18.7613864389938</v>
      </c>
      <c r="BE291" s="31">
        <f t="shared" si="306"/>
        <v>155.700271177243</v>
      </c>
      <c r="BF291" s="30" t="str">
        <f t="shared" si="307"/>
        <v>0,0559341617622309+0,101026179150912i</v>
      </c>
      <c r="BG291" s="68">
        <f t="shared" si="308"/>
        <v>-18.7500960737816</v>
      </c>
      <c r="BH291" s="31">
        <f t="shared" si="309"/>
        <v>61.0284518599738</v>
      </c>
      <c r="BI291" s="30" t="str">
        <f t="shared" si="263"/>
        <v>0,0125181824615041+0,583504993385677i</v>
      </c>
      <c r="BJ291" s="68">
        <f t="shared" si="310"/>
        <v>-4.67711008324444</v>
      </c>
      <c r="BK291" s="31">
        <f t="shared" si="264"/>
        <v>88.7709976360018</v>
      </c>
      <c r="BL291" s="32">
        <f t="shared" si="311"/>
        <v>-18.7500960737816</v>
      </c>
      <c r="BM291" s="31">
        <f t="shared" si="312"/>
        <v>61.0284518599738</v>
      </c>
      <c r="BO291">
        <f t="shared" si="313"/>
        <v>0</v>
      </c>
      <c r="BP291">
        <f t="shared" si="314"/>
        <v>0</v>
      </c>
    </row>
    <row r="292" spans="14:68">
      <c r="N292" s="7">
        <v>74</v>
      </c>
      <c r="O292" s="18">
        <f t="shared" si="315"/>
        <v>5495.40873857625</v>
      </c>
      <c r="P292" s="86" t="str">
        <f t="shared" si="265"/>
        <v>163,636363636364</v>
      </c>
      <c r="Q292" s="4" t="str">
        <f t="shared" si="266"/>
        <v>1+210,938792816448i</v>
      </c>
      <c r="R292" s="4">
        <f t="shared" si="277"/>
        <v>210.941163158973</v>
      </c>
      <c r="S292" s="4">
        <f t="shared" si="278"/>
        <v>1.56605565062386</v>
      </c>
      <c r="T292" s="4" t="str">
        <f t="shared" si="267"/>
        <v>1+0,541409568228884i</v>
      </c>
      <c r="U292" s="4">
        <f t="shared" si="279"/>
        <v>1.13715624281353</v>
      </c>
      <c r="V292" s="4">
        <f t="shared" si="280"/>
        <v>0.496223955224008</v>
      </c>
      <c r="W292" t="str">
        <f t="shared" si="268"/>
        <v>1-0,51793007164753i</v>
      </c>
      <c r="X292" s="4">
        <f t="shared" si="281"/>
        <v>1.12616675457803</v>
      </c>
      <c r="Y292" s="4">
        <f t="shared" si="282"/>
        <v>-0.477888560115501</v>
      </c>
      <c r="Z292" t="str">
        <f t="shared" si="269"/>
        <v>0,999753473328947+0,107285514841274i</v>
      </c>
      <c r="AA292" s="4">
        <f t="shared" si="283"/>
        <v>1.00549350526398</v>
      </c>
      <c r="AB292" s="4">
        <f t="shared" si="284"/>
        <v>0.106902863298943</v>
      </c>
      <c r="AC292" s="67" t="str">
        <f t="shared" si="285"/>
        <v>-0,0827248821447666-0,984542316068699i</v>
      </c>
      <c r="AD292" s="68">
        <f t="shared" si="286"/>
        <v>-0.104758877303677</v>
      </c>
      <c r="AE292" s="31">
        <f t="shared" si="287"/>
        <v>-94.8029213928326</v>
      </c>
      <c r="AF292" s="32" t="str">
        <f t="shared" si="288"/>
        <v>748,315388573934</v>
      </c>
      <c r="AG292" s="32" t="str">
        <f t="shared" si="270"/>
        <v>1+171,876053405995i</v>
      </c>
      <c r="AH292" s="32">
        <f t="shared" si="289"/>
        <v>171.878962454456</v>
      </c>
      <c r="AI292" s="32">
        <f t="shared" si="290"/>
        <v>1.56497824628394</v>
      </c>
      <c r="AJ292" s="32" t="str">
        <f t="shared" si="271"/>
        <v>1+0,541409568228884i</v>
      </c>
      <c r="AK292" s="32">
        <f t="shared" si="291"/>
        <v>1.13715624281353</v>
      </c>
      <c r="AL292" s="32">
        <f t="shared" si="292"/>
        <v>0.496223955224008</v>
      </c>
      <c r="AM292" s="32" t="str">
        <f t="shared" si="272"/>
        <v>1-0,0922817561148731i</v>
      </c>
      <c r="AN292" s="32">
        <f t="shared" si="293"/>
        <v>1.00424893453349</v>
      </c>
      <c r="AO292" s="32">
        <f t="shared" si="294"/>
        <v>-0.0920211317371996</v>
      </c>
      <c r="AP292" s="30" t="str">
        <f t="shared" si="295"/>
        <v>1,98194599827447-4,55980300576385i</v>
      </c>
      <c r="AQ292" s="32">
        <f t="shared" si="296"/>
        <v>13.9304694482772</v>
      </c>
      <c r="AR292" s="31">
        <f t="shared" si="297"/>
        <v>-66.5075326887895</v>
      </c>
      <c r="AS292" t="str">
        <f t="shared" si="273"/>
        <v>-0,0000504684572142411</v>
      </c>
      <c r="AT292" t="str">
        <f t="shared" si="274"/>
        <v>0,00775859247327998i</v>
      </c>
      <c r="AU292">
        <f t="shared" si="298"/>
        <v>0.00775859247327998</v>
      </c>
      <c r="AV292">
        <f t="shared" si="299"/>
        <v>1.5707963267949</v>
      </c>
      <c r="AW292" t="str">
        <f t="shared" si="275"/>
        <v>1+0,397225703963466i</v>
      </c>
      <c r="AX292">
        <f t="shared" si="300"/>
        <v>1.07600569695949</v>
      </c>
      <c r="AY292">
        <f t="shared" si="301"/>
        <v>0.378112457014043</v>
      </c>
      <c r="AZ292" t="str">
        <f t="shared" si="276"/>
        <v>1+18,9907692937427i</v>
      </c>
      <c r="BA292">
        <f t="shared" si="302"/>
        <v>19.0170796487831</v>
      </c>
      <c r="BB292">
        <f t="shared" si="303"/>
        <v>1.51818775363545</v>
      </c>
      <c r="BC292" s="30" t="str">
        <f t="shared" si="304"/>
        <v>-0,104464832651318+0,0480009637203054i</v>
      </c>
      <c r="BD292" s="32">
        <f t="shared" si="305"/>
        <v>-18.7886731441788</v>
      </c>
      <c r="BE292" s="31">
        <f t="shared" si="306"/>
        <v>155.321502823532</v>
      </c>
      <c r="BF292" s="30" t="str">
        <f t="shared" si="307"/>
        <v>0,0559008209640721+0,0988791742196602i</v>
      </c>
      <c r="BG292" s="68">
        <f t="shared" si="308"/>
        <v>-18.8934320214825</v>
      </c>
      <c r="BH292" s="31">
        <f t="shared" si="309"/>
        <v>60.5185814306995</v>
      </c>
      <c r="BI292" s="30" t="str">
        <f t="shared" si="263"/>
        <v>0,0118312816177182+0,571474375878875i</v>
      </c>
      <c r="BJ292" s="68">
        <f t="shared" si="310"/>
        <v>-4.85820369590161</v>
      </c>
      <c r="BK292" s="31">
        <f t="shared" si="264"/>
        <v>88.8139701347425</v>
      </c>
      <c r="BL292" s="32">
        <f t="shared" si="311"/>
        <v>-18.8934320214825</v>
      </c>
      <c r="BM292" s="31">
        <f t="shared" si="312"/>
        <v>60.5185814306995</v>
      </c>
      <c r="BO292">
        <f t="shared" si="313"/>
        <v>0</v>
      </c>
      <c r="BP292">
        <f t="shared" si="314"/>
        <v>0</v>
      </c>
    </row>
    <row r="293" spans="14:68">
      <c r="N293" s="7">
        <v>75</v>
      </c>
      <c r="O293" s="18">
        <f t="shared" si="315"/>
        <v>5623.4132519035</v>
      </c>
      <c r="P293" s="86" t="str">
        <f t="shared" si="265"/>
        <v>163,636363636364</v>
      </c>
      <c r="Q293" s="4" t="str">
        <f t="shared" si="266"/>
        <v>1+215,852188489233i</v>
      </c>
      <c r="R293" s="4">
        <f t="shared" si="277"/>
        <v>215.85450487676</v>
      </c>
      <c r="S293" s="4">
        <f t="shared" si="278"/>
        <v>1.56616356002606</v>
      </c>
      <c r="T293" s="4" t="str">
        <f t="shared" si="267"/>
        <v>1+0,554020617122365i</v>
      </c>
      <c r="U293" s="4">
        <f t="shared" si="279"/>
        <v>1.14321425996908</v>
      </c>
      <c r="V293" s="4">
        <f t="shared" si="280"/>
        <v>0.505924815474331</v>
      </c>
      <c r="W293" t="str">
        <f t="shared" si="268"/>
        <v>1-0,529994212808386i</v>
      </c>
      <c r="X293" s="4">
        <f t="shared" si="281"/>
        <v>1.13176581747744</v>
      </c>
      <c r="Y293" s="4">
        <f t="shared" si="282"/>
        <v>-0.487354061427689</v>
      </c>
      <c r="Z293" t="str">
        <f t="shared" si="269"/>
        <v>0,999741854884884+0,109784515510308i</v>
      </c>
      <c r="AA293" s="4">
        <f t="shared" si="283"/>
        <v>1.00575166728895</v>
      </c>
      <c r="AB293" s="4">
        <f t="shared" si="284"/>
        <v>0.109374623464389</v>
      </c>
      <c r="AC293" s="67" t="str">
        <f t="shared" si="285"/>
        <v>-0,0839336659970668-0,971622874087898i</v>
      </c>
      <c r="AD293" s="68">
        <f t="shared" si="286"/>
        <v>-0.217757043034555</v>
      </c>
      <c r="AE293" s="31">
        <f t="shared" si="287"/>
        <v>-94.9372404977711</v>
      </c>
      <c r="AF293" s="32" t="str">
        <f t="shared" si="288"/>
        <v>748,315388573934</v>
      </c>
      <c r="AG293" s="32" t="str">
        <f t="shared" si="270"/>
        <v>1+175,879560991227i</v>
      </c>
      <c r="AH293" s="32">
        <f t="shared" si="289"/>
        <v>175.882403822744</v>
      </c>
      <c r="AI293" s="32">
        <f t="shared" si="290"/>
        <v>1.56511067907773</v>
      </c>
      <c r="AJ293" s="32" t="str">
        <f t="shared" si="271"/>
        <v>1+0,554020617122365i</v>
      </c>
      <c r="AK293" s="32">
        <f t="shared" si="291"/>
        <v>1.14321425996908</v>
      </c>
      <c r="AL293" s="32">
        <f t="shared" si="292"/>
        <v>0.505924815474331</v>
      </c>
      <c r="AM293" s="32" t="str">
        <f t="shared" si="272"/>
        <v>1-0,0944312743477112i</v>
      </c>
      <c r="AN293" s="32">
        <f t="shared" si="293"/>
        <v>1.00444873715632</v>
      </c>
      <c r="AO293" s="32">
        <f t="shared" si="294"/>
        <v>-0.0941520770541186</v>
      </c>
      <c r="AP293" s="30" t="str">
        <f t="shared" si="295"/>
        <v>1,98080896760981-4,46603400784578i</v>
      </c>
      <c r="AQ293" s="32">
        <f t="shared" si="296"/>
        <v>13.7783538758633</v>
      </c>
      <c r="AR293" s="31">
        <f t="shared" si="297"/>
        <v>-66.0813963519854</v>
      </c>
      <c r="AS293" t="str">
        <f t="shared" si="273"/>
        <v>-0,0000504684572142411</v>
      </c>
      <c r="AT293" t="str">
        <f t="shared" si="274"/>
        <v>0,00793931330786962i</v>
      </c>
      <c r="AU293">
        <f t="shared" si="298"/>
        <v>0.00793931330786962</v>
      </c>
      <c r="AV293">
        <f t="shared" si="299"/>
        <v>1.5707963267949</v>
      </c>
      <c r="AW293" t="str">
        <f t="shared" si="275"/>
        <v>1+0,406478279219604i</v>
      </c>
      <c r="AX293">
        <f t="shared" si="300"/>
        <v>1.07945569222517</v>
      </c>
      <c r="AY293">
        <f t="shared" si="301"/>
        <v>0.386078595057729</v>
      </c>
      <c r="AZ293" t="str">
        <f t="shared" si="276"/>
        <v>1+19,4331211363074i</v>
      </c>
      <c r="BA293">
        <f t="shared" si="302"/>
        <v>19.4588333951036</v>
      </c>
      <c r="BB293">
        <f t="shared" si="303"/>
        <v>1.51938313730606</v>
      </c>
      <c r="BC293" s="30" t="str">
        <f t="shared" si="304"/>
        <v>-0,103798149901428+0,0485484719933885i</v>
      </c>
      <c r="BD293" s="32">
        <f t="shared" si="305"/>
        <v>-18.8170186608026</v>
      </c>
      <c r="BE293" s="31">
        <f t="shared" si="306"/>
        <v>154.933567173835</v>
      </c>
      <c r="BF293" s="30" t="str">
        <f t="shared" si="307"/>
        <v>0,0558829651357319+0,0967778054992709i</v>
      </c>
      <c r="BG293" s="68">
        <f t="shared" si="308"/>
        <v>-19.0347757038371</v>
      </c>
      <c r="BH293" s="31">
        <f t="shared" si="309"/>
        <v>59.9963266760642</v>
      </c>
      <c r="BI293" s="30" t="str">
        <f t="shared" si="263"/>
        <v>0,0112148208053655+0,559731316099509i</v>
      </c>
      <c r="BJ293" s="68">
        <f t="shared" si="310"/>
        <v>-5.03866478493928</v>
      </c>
      <c r="BK293" s="31">
        <f t="shared" si="264"/>
        <v>88.8521708218499</v>
      </c>
      <c r="BL293" s="32">
        <f t="shared" si="311"/>
        <v>-19.0347757038371</v>
      </c>
      <c r="BM293" s="31">
        <f t="shared" si="312"/>
        <v>59.9963266760642</v>
      </c>
      <c r="BO293">
        <f t="shared" si="313"/>
        <v>0</v>
      </c>
      <c r="BP293">
        <f t="shared" si="314"/>
        <v>0</v>
      </c>
    </row>
    <row r="294" spans="14:68">
      <c r="N294" s="7">
        <v>76</v>
      </c>
      <c r="O294" s="18">
        <f t="shared" si="315"/>
        <v>5754.39937337157</v>
      </c>
      <c r="P294" s="86" t="str">
        <f t="shared" si="265"/>
        <v>163,636363636364</v>
      </c>
      <c r="Q294" s="4" t="str">
        <f t="shared" si="266"/>
        <v>1+220,880031849497i</v>
      </c>
      <c r="R294" s="4">
        <f t="shared" si="277"/>
        <v>220.882295510154</v>
      </c>
      <c r="S294" s="4">
        <f t="shared" si="278"/>
        <v>1.56626901321463</v>
      </c>
      <c r="T294" s="4" t="str">
        <f t="shared" si="267"/>
        <v>1+0,566925415080376i</v>
      </c>
      <c r="U294" s="4">
        <f t="shared" si="279"/>
        <v>1.14952356490159</v>
      </c>
      <c r="V294" s="4">
        <f t="shared" si="280"/>
        <v>0.515744842384676</v>
      </c>
      <c r="W294" t="str">
        <f t="shared" si="268"/>
        <v>1-0,542339363916176i</v>
      </c>
      <c r="X294" s="4">
        <f t="shared" si="281"/>
        <v>1.13759922013555</v>
      </c>
      <c r="Y294" s="4">
        <f t="shared" si="282"/>
        <v>-0.496942705689999</v>
      </c>
      <c r="Z294" t="str">
        <f t="shared" si="269"/>
        <v>0,999729688880422+0,112341725382636i</v>
      </c>
      <c r="AA294" s="4">
        <f t="shared" si="283"/>
        <v>1.00602192525357</v>
      </c>
      <c r="AB294" s="4">
        <f t="shared" si="284"/>
        <v>0.111902659936246</v>
      </c>
      <c r="AC294" s="67" t="str">
        <f t="shared" si="285"/>
        <v>-0,0851830154582841-0,959208089475642i</v>
      </c>
      <c r="AD294" s="68">
        <f t="shared" si="286"/>
        <v>-0.327627373387201</v>
      </c>
      <c r="AE294" s="31">
        <f t="shared" si="287"/>
        <v>-95.0748710915202</v>
      </c>
      <c r="AF294" s="32" t="str">
        <f t="shared" si="288"/>
        <v>748,315388573934</v>
      </c>
      <c r="AG294" s="32" t="str">
        <f t="shared" si="270"/>
        <v>1+179,976322247738i</v>
      </c>
      <c r="AH294" s="32">
        <f t="shared" si="289"/>
        <v>179.97910036952</v>
      </c>
      <c r="AI294" s="32">
        <f t="shared" si="290"/>
        <v>1.5652400975258</v>
      </c>
      <c r="AJ294" s="32" t="str">
        <f t="shared" si="271"/>
        <v>1+0,566925415080376i</v>
      </c>
      <c r="AK294" s="32">
        <f t="shared" si="291"/>
        <v>1.14952356490159</v>
      </c>
      <c r="AL294" s="32">
        <f t="shared" si="292"/>
        <v>0.515744842384676</v>
      </c>
      <c r="AM294" s="32" t="str">
        <f t="shared" si="272"/>
        <v>1-0,0966308612921543i</v>
      </c>
      <c r="AN294" s="32">
        <f t="shared" si="293"/>
        <v>1.00465791359749</v>
      </c>
      <c r="AO294" s="32">
        <f t="shared" si="294"/>
        <v>-0.0963317708627753</v>
      </c>
      <c r="AP294" s="30" t="str">
        <f t="shared" si="295"/>
        <v>1,97972310852087-4,37463237820715i</v>
      </c>
      <c r="AQ294" s="32">
        <f t="shared" si="296"/>
        <v>13.6279737543656</v>
      </c>
      <c r="AR294" s="31">
        <f t="shared" si="297"/>
        <v>-65.6510526420501</v>
      </c>
      <c r="AS294" t="str">
        <f t="shared" si="273"/>
        <v>-0,0000504684572142411</v>
      </c>
      <c r="AT294" t="str">
        <f t="shared" si="274"/>
        <v>0,0081242436714643i</v>
      </c>
      <c r="AU294">
        <f t="shared" si="298"/>
        <v>0.0081242436714643</v>
      </c>
      <c r="AV294">
        <f t="shared" si="299"/>
        <v>1.5707963267949</v>
      </c>
      <c r="AW294" t="str">
        <f t="shared" si="275"/>
        <v>1+0,415946374639761i</v>
      </c>
      <c r="AX294">
        <f t="shared" si="300"/>
        <v>1.08305650202377</v>
      </c>
      <c r="AY294">
        <f t="shared" si="301"/>
        <v>0.394177222836179</v>
      </c>
      <c r="AZ294" t="str">
        <f t="shared" si="276"/>
        <v>1+19,8857766769264i</v>
      </c>
      <c r="BA294">
        <f t="shared" si="302"/>
        <v>19.9109044004684</v>
      </c>
      <c r="BB294">
        <f t="shared" si="303"/>
        <v>1.52055145284389</v>
      </c>
      <c r="BC294" s="30" t="str">
        <f t="shared" si="304"/>
        <v>-0,10310910720828+0,0490999400233966i</v>
      </c>
      <c r="BD294" s="32">
        <f t="shared" si="305"/>
        <v>-18.8464607741338</v>
      </c>
      <c r="BE294" s="31">
        <f t="shared" si="306"/>
        <v>154.53648953174</v>
      </c>
      <c r="BF294" s="30" t="str">
        <f t="shared" si="307"/>
        <v>0,0558802043364236+0,0947206087827796i</v>
      </c>
      <c r="BG294" s="68">
        <f t="shared" si="308"/>
        <v>-19.174088147521</v>
      </c>
      <c r="BH294" s="31">
        <f t="shared" si="309"/>
        <v>59.4616184402194</v>
      </c>
      <c r="BI294" s="30" t="str">
        <f t="shared" si="263"/>
        <v>0,0106667051551922+0,548268724772681i</v>
      </c>
      <c r="BJ294" s="68">
        <f t="shared" si="310"/>
        <v>-5.21848701976821</v>
      </c>
      <c r="BK294" s="31">
        <f t="shared" si="264"/>
        <v>88.8854368896895</v>
      </c>
      <c r="BL294" s="32">
        <f t="shared" si="311"/>
        <v>-19.174088147521</v>
      </c>
      <c r="BM294" s="31">
        <f t="shared" si="312"/>
        <v>59.4616184402194</v>
      </c>
      <c r="BO294">
        <f t="shared" si="313"/>
        <v>0</v>
      </c>
      <c r="BP294">
        <f t="shared" si="314"/>
        <v>0</v>
      </c>
    </row>
    <row r="295" spans="14:68">
      <c r="N295" s="7">
        <v>77</v>
      </c>
      <c r="O295" s="18">
        <f t="shared" si="315"/>
        <v>5888.4365535559</v>
      </c>
      <c r="P295" s="86" t="str">
        <f t="shared" si="265"/>
        <v>163,636363636364</v>
      </c>
      <c r="Q295" s="4" t="str">
        <f t="shared" si="266"/>
        <v>1+226,02498872634i</v>
      </c>
      <c r="R295" s="4">
        <f t="shared" si="277"/>
        <v>226.027200860299</v>
      </c>
      <c r="S295" s="4">
        <f t="shared" si="278"/>
        <v>1.56637206609287</v>
      </c>
      <c r="T295" s="4" t="str">
        <f t="shared" si="267"/>
        <v>1+0,580130804397606i</v>
      </c>
      <c r="U295" s="4">
        <f t="shared" si="279"/>
        <v>1.15609331379911</v>
      </c>
      <c r="V295" s="4">
        <f t="shared" si="280"/>
        <v>0.525681666173527</v>
      </c>
      <c r="W295" t="str">
        <f t="shared" si="268"/>
        <v>1-0,554972070533425i</v>
      </c>
      <c r="X295" s="4">
        <f t="shared" si="281"/>
        <v>1.1436756529157</v>
      </c>
      <c r="Y295" s="4">
        <f t="shared" si="282"/>
        <v>-0.506652523319634</v>
      </c>
      <c r="Z295" t="str">
        <f t="shared" si="269"/>
        <v>0,999716949509835+0,114958500324781i</v>
      </c>
      <c r="AA295" s="4">
        <f t="shared" si="283"/>
        <v>1.00630484244794</v>
      </c>
      <c r="AB295" s="4">
        <f t="shared" si="284"/>
        <v>0.114488192193053</v>
      </c>
      <c r="AC295" s="67" t="str">
        <f t="shared" si="285"/>
        <v>-0,0864754202276801-0,947290655658332i</v>
      </c>
      <c r="AD295" s="68">
        <f t="shared" si="286"/>
        <v>-0.434293682441012</v>
      </c>
      <c r="AE295" s="31">
        <f t="shared" si="287"/>
        <v>-95.2159091777734</v>
      </c>
      <c r="AF295" s="32" t="str">
        <f t="shared" si="288"/>
        <v>748,315388573934</v>
      </c>
      <c r="AG295" s="32" t="str">
        <f t="shared" si="270"/>
        <v>1+184,168509332573i</v>
      </c>
      <c r="AH295" s="32">
        <f t="shared" si="289"/>
        <v>184.171224217525</v>
      </c>
      <c r="AI295" s="32">
        <f t="shared" si="290"/>
        <v>1.56536657023018</v>
      </c>
      <c r="AJ295" s="32" t="str">
        <f t="shared" si="271"/>
        <v>1+0,580130804397606i</v>
      </c>
      <c r="AK295" s="32">
        <f t="shared" si="291"/>
        <v>1.15609331379911</v>
      </c>
      <c r="AL295" s="32">
        <f t="shared" si="292"/>
        <v>0.525681666173527</v>
      </c>
      <c r="AM295" s="32" t="str">
        <f t="shared" si="272"/>
        <v>1-0,098881683198315i</v>
      </c>
      <c r="AN295" s="32">
        <f t="shared" si="293"/>
        <v>1.00487690155169</v>
      </c>
      <c r="AO295" s="32">
        <f t="shared" si="294"/>
        <v>-0.0985612859731152</v>
      </c>
      <c r="AP295" s="30" t="str">
        <f t="shared" si="295"/>
        <v>1,97868611819188-4,28554969334216i</v>
      </c>
      <c r="AQ295" s="32">
        <f t="shared" si="296"/>
        <v>13.4793730861126</v>
      </c>
      <c r="AR295" s="31">
        <f t="shared" si="297"/>
        <v>-65.2167027355518</v>
      </c>
      <c r="AS295" t="str">
        <f t="shared" si="273"/>
        <v>-0,0000504684572142411</v>
      </c>
      <c r="AT295" t="str">
        <f t="shared" si="274"/>
        <v>0,0083134816165907i</v>
      </c>
      <c r="AU295">
        <f t="shared" si="298"/>
        <v>0.0083134816165907</v>
      </c>
      <c r="AV295">
        <f t="shared" si="299"/>
        <v>1.5707963267949</v>
      </c>
      <c r="AW295" t="str">
        <f t="shared" si="275"/>
        <v>1+0,425635010333452i</v>
      </c>
      <c r="AX295">
        <f t="shared" si="300"/>
        <v>1.08681422608538</v>
      </c>
      <c r="AY295">
        <f t="shared" si="301"/>
        <v>0.402408383934472</v>
      </c>
      <c r="AZ295" t="str">
        <f t="shared" si="276"/>
        <v>1+20,3489759195589i</v>
      </c>
      <c r="BA295">
        <f t="shared" si="302"/>
        <v>20.3735323637014</v>
      </c>
      <c r="BB295">
        <f t="shared" si="303"/>
        <v>1.52169330694041</v>
      </c>
      <c r="BC295" s="30" t="str">
        <f t="shared" si="304"/>
        <v>-0,1023973282517+0,0496545643362i</v>
      </c>
      <c r="BD295" s="32">
        <f t="shared" si="305"/>
        <v>-18.8770378594985</v>
      </c>
      <c r="BE295" s="31">
        <f t="shared" si="306"/>
        <v>154.130302160865</v>
      </c>
      <c r="BF295" s="30" t="str">
        <f t="shared" si="307"/>
        <v>0,0558921567972252+0,0927061329000191i</v>
      </c>
      <c r="BG295" s="68">
        <f t="shared" si="308"/>
        <v>-19.3113315419395</v>
      </c>
      <c r="BH295" s="31">
        <f t="shared" si="309"/>
        <v>58.9143929830919</v>
      </c>
      <c r="BI295" s="30" t="str">
        <f t="shared" si="263"/>
        <v>0,0101849310124644+0,537079635845034i</v>
      </c>
      <c r="BJ295" s="68">
        <f t="shared" si="310"/>
        <v>-5.3976647733859</v>
      </c>
      <c r="BK295" s="31">
        <f t="shared" si="264"/>
        <v>88.9135994253135</v>
      </c>
      <c r="BL295" s="32">
        <f t="shared" si="311"/>
        <v>-19.3113315419395</v>
      </c>
      <c r="BM295" s="31">
        <f t="shared" si="312"/>
        <v>58.9143929830919</v>
      </c>
      <c r="BO295">
        <f t="shared" si="313"/>
        <v>0</v>
      </c>
      <c r="BP295">
        <f t="shared" si="314"/>
        <v>0</v>
      </c>
    </row>
    <row r="296" spans="14:68">
      <c r="N296" s="7">
        <v>78</v>
      </c>
      <c r="O296" s="18">
        <f t="shared" si="315"/>
        <v>6025.59586074359</v>
      </c>
      <c r="P296" s="86" t="str">
        <f t="shared" si="265"/>
        <v>163,636363636364</v>
      </c>
      <c r="Q296" s="4" t="str">
        <f t="shared" si="266"/>
        <v>1+231,289787044001i</v>
      </c>
      <c r="R296" s="4">
        <f t="shared" si="277"/>
        <v>231.29194882412</v>
      </c>
      <c r="S296" s="4">
        <f t="shared" si="278"/>
        <v>1.56647277329202</v>
      </c>
      <c r="T296" s="4" t="str">
        <f t="shared" si="267"/>
        <v>1+0,593643786746269i</v>
      </c>
      <c r="U296" s="4">
        <f t="shared" si="279"/>
        <v>1.16293290672439</v>
      </c>
      <c r="V296" s="4">
        <f t="shared" si="280"/>
        <v>0.535732705510616</v>
      </c>
      <c r="W296" t="str">
        <f t="shared" si="268"/>
        <v>1-0,567899030688395i</v>
      </c>
      <c r="X296" s="4">
        <f t="shared" si="281"/>
        <v>1.15000404740889</v>
      </c>
      <c r="Y296" s="4">
        <f t="shared" si="282"/>
        <v>-0.516481338260503</v>
      </c>
      <c r="Z296" t="str">
        <f t="shared" si="269"/>
        <v>0,999703609751208+0,117636227785453i</v>
      </c>
      <c r="AA296" s="4">
        <f t="shared" si="283"/>
        <v>1.00660100806486</v>
      </c>
      <c r="AB296" s="4">
        <f t="shared" si="284"/>
        <v>0.117132461763882</v>
      </c>
      <c r="AC296" s="67" t="str">
        <f t="shared" si="285"/>
        <v>-0,0878134462555712-0,935863479495335i</v>
      </c>
      <c r="AD296" s="68">
        <f t="shared" si="286"/>
        <v>-0.537680559861424</v>
      </c>
      <c r="AE296" s="31">
        <f t="shared" si="287"/>
        <v>-95.3604522415462</v>
      </c>
      <c r="AF296" s="32" t="str">
        <f t="shared" si="288"/>
        <v>748,315388573934</v>
      </c>
      <c r="AG296" s="32" t="str">
        <f t="shared" si="270"/>
        <v>1+188,458344998816i</v>
      </c>
      <c r="AH296" s="32">
        <f t="shared" si="289"/>
        <v>188.460998086322</v>
      </c>
      <c r="AI296" s="32">
        <f t="shared" si="290"/>
        <v>1.56549016423219</v>
      </c>
      <c r="AJ296" s="32" t="str">
        <f t="shared" si="271"/>
        <v>1+0,593643786746269i</v>
      </c>
      <c r="AK296" s="32">
        <f t="shared" si="291"/>
        <v>1.16293290672439</v>
      </c>
      <c r="AL296" s="32">
        <f t="shared" si="292"/>
        <v>0.535732705510616</v>
      </c>
      <c r="AM296" s="32" t="str">
        <f t="shared" si="272"/>
        <v>1-0,101184933481762i</v>
      </c>
      <c r="AN296" s="32">
        <f t="shared" si="293"/>
        <v>1.00510615895223</v>
      </c>
      <c r="AO296" s="32">
        <f t="shared" si="294"/>
        <v>-0.100841715796155</v>
      </c>
      <c r="AP296" s="30" t="str">
        <f t="shared" si="295"/>
        <v>1,97769579742586-4,19873875668749i</v>
      </c>
      <c r="AQ296" s="32">
        <f t="shared" si="296"/>
        <v>13.3325956660746</v>
      </c>
      <c r="AR296" s="31">
        <f t="shared" si="297"/>
        <v>-64.7785610208408</v>
      </c>
      <c r="AS296" t="str">
        <f t="shared" si="273"/>
        <v>-0,0000504684572142411</v>
      </c>
      <c r="AT296" t="str">
        <f t="shared" si="274"/>
        <v>0,00850712747971214i</v>
      </c>
      <c r="AU296">
        <f t="shared" si="298"/>
        <v>0.00850712747971214</v>
      </c>
      <c r="AV296">
        <f t="shared" si="299"/>
        <v>1.5707963267949</v>
      </c>
      <c r="AW296" t="str">
        <f t="shared" si="275"/>
        <v>1+0,435549323343569i</v>
      </c>
      <c r="AX296">
        <f t="shared" si="300"/>
        <v>1.09073517091228</v>
      </c>
      <c r="AY296">
        <f t="shared" si="301"/>
        <v>0.410771980150394</v>
      </c>
      <c r="AZ296" t="str">
        <f t="shared" si="276"/>
        <v>1+20,8229644585744i</v>
      </c>
      <c r="BA296">
        <f t="shared" si="302"/>
        <v>20.8469625807467</v>
      </c>
      <c r="BB296">
        <f t="shared" si="303"/>
        <v>1.52280929310474</v>
      </c>
      <c r="BC296" s="30" t="str">
        <f t="shared" si="304"/>
        <v>-0,101662461264936+0,0502115072139717i</v>
      </c>
      <c r="BD296" s="32">
        <f t="shared" si="305"/>
        <v>-18.9087888461652</v>
      </c>
      <c r="BE296" s="31">
        <f t="shared" si="306"/>
        <v>153.715044693353</v>
      </c>
      <c r="BF296" s="30" t="str">
        <f t="shared" si="307"/>
        <v>0,0559184469304702+0,0907329392433174i</v>
      </c>
      <c r="BG296" s="68">
        <f t="shared" si="308"/>
        <v>-19.4464694060266</v>
      </c>
      <c r="BH296" s="31">
        <f t="shared" si="309"/>
        <v>58.3545924518064</v>
      </c>
      <c r="BI296" s="30" t="str">
        <f t="shared" si="263"/>
        <v>0,00976757897136327+0,526157203012818i</v>
      </c>
      <c r="BJ296" s="68">
        <f t="shared" si="310"/>
        <v>-5.57619318009054</v>
      </c>
      <c r="BK296" s="31">
        <f t="shared" si="264"/>
        <v>88.9364836725118</v>
      </c>
      <c r="BL296" s="32">
        <f t="shared" si="311"/>
        <v>-19.4464694060266</v>
      </c>
      <c r="BM296" s="31">
        <f t="shared" si="312"/>
        <v>58.3545924518064</v>
      </c>
      <c r="BO296">
        <f t="shared" si="313"/>
        <v>0</v>
      </c>
      <c r="BP296">
        <f t="shared" si="314"/>
        <v>0</v>
      </c>
    </row>
    <row r="297" spans="14:68">
      <c r="N297" s="7">
        <v>79</v>
      </c>
      <c r="O297" s="18">
        <f t="shared" si="315"/>
        <v>6165.95001861483</v>
      </c>
      <c r="P297" s="86" t="str">
        <f t="shared" si="265"/>
        <v>163,636363636364</v>
      </c>
      <c r="Q297" s="4" t="str">
        <f t="shared" si="266"/>
        <v>1+236,677218268234i</v>
      </c>
      <c r="R297" s="4">
        <f t="shared" si="277"/>
        <v>236.679330840674</v>
      </c>
      <c r="S297" s="4">
        <f t="shared" si="278"/>
        <v>1.56657118820018</v>
      </c>
      <c r="T297" s="4" t="str">
        <f t="shared" si="267"/>
        <v>1+0,607471526888466i</v>
      </c>
      <c r="U297" s="4">
        <f t="shared" si="279"/>
        <v>1.17005198858008</v>
      </c>
      <c r="V297" s="4">
        <f t="shared" si="280"/>
        <v>0.545895165907186</v>
      </c>
      <c r="W297" t="str">
        <f t="shared" si="268"/>
        <v>1-0,581127098426467i</v>
      </c>
      <c r="X297" s="4">
        <f t="shared" si="281"/>
        <v>1.1565935779372</v>
      </c>
      <c r="Y297" s="4">
        <f t="shared" si="282"/>
        <v>-0.526426765038163</v>
      </c>
      <c r="Z297" t="str">
        <f t="shared" si="269"/>
        <v>0,999689641309126+0,120376327531197i</v>
      </c>
      <c r="AA297" s="4">
        <f t="shared" si="283"/>
        <v>1.00691103835973</v>
      </c>
      <c r="AB297" s="4">
        <f t="shared" si="284"/>
        <v>0.119836732308908</v>
      </c>
      <c r="AC297" s="67" t="str">
        <f t="shared" si="285"/>
        <v>-0,0891997397869626-0,924919674220772i</v>
      </c>
      <c r="AD297" s="68">
        <f t="shared" si="286"/>
        <v>-0.637713581718881</v>
      </c>
      <c r="AE297" s="31">
        <f t="shared" si="287"/>
        <v>-95.5085991789408</v>
      </c>
      <c r="AF297" s="32" t="str">
        <f t="shared" si="288"/>
        <v>748,315388573934</v>
      </c>
      <c r="AG297" s="32" t="str">
        <f t="shared" si="270"/>
        <v>1+192,848103774116i</v>
      </c>
      <c r="AH297" s="32">
        <f t="shared" si="289"/>
        <v>192.850696470799</v>
      </c>
      <c r="AI297" s="32">
        <f t="shared" si="290"/>
        <v>1.56561094504789</v>
      </c>
      <c r="AJ297" s="32" t="str">
        <f t="shared" si="271"/>
        <v>1+0,607471526888466i</v>
      </c>
      <c r="AK297" s="32">
        <f t="shared" si="291"/>
        <v>1.17005198858008</v>
      </c>
      <c r="AL297" s="32">
        <f t="shared" si="292"/>
        <v>0.545895165907186</v>
      </c>
      <c r="AM297" s="32" t="str">
        <f t="shared" si="272"/>
        <v>1-0,103541833356281i</v>
      </c>
      <c r="AN297" s="32">
        <f t="shared" si="293"/>
        <v>1.00534616488789</v>
      </c>
      <c r="AO297" s="32">
        <f t="shared" si="294"/>
        <v>-0.103174174521484</v>
      </c>
      <c r="AP297" s="30" t="str">
        <f t="shared" si="295"/>
        <v>1,97675004598317-4,11415357377123i</v>
      </c>
      <c r="AQ297" s="32">
        <f t="shared" si="296"/>
        <v>13.1876849848456</v>
      </c>
      <c r="AR297" s="31">
        <f t="shared" si="297"/>
        <v>-64.3368552024837</v>
      </c>
      <c r="AS297" t="str">
        <f t="shared" si="273"/>
        <v>-0,0000504684572142411</v>
      </c>
      <c r="AT297" t="str">
        <f t="shared" si="274"/>
        <v>0,00870528393442846i</v>
      </c>
      <c r="AU297">
        <f t="shared" si="298"/>
        <v>0.00870528393442846</v>
      </c>
      <c r="AV297">
        <f t="shared" si="299"/>
        <v>1.5707963267949</v>
      </c>
      <c r="AW297" t="str">
        <f t="shared" si="275"/>
        <v>1+0,445694570370098i</v>
      </c>
      <c r="AX297">
        <f t="shared" si="300"/>
        <v>1.09482585375821</v>
      </c>
      <c r="AY297">
        <f t="shared" si="301"/>
        <v>0.419267764671181</v>
      </c>
      <c r="AZ297" t="str">
        <f t="shared" si="276"/>
        <v>1+21,3079936089704i</v>
      </c>
      <c r="BA297">
        <f t="shared" si="302"/>
        <v>21.331446074749</v>
      </c>
      <c r="BB297">
        <f t="shared" si="303"/>
        <v>1.52389999192217</v>
      </c>
      <c r="BC297" s="30" t="str">
        <f t="shared" si="304"/>
        <v>-0,100904181830191+0,0507698969881126i</v>
      </c>
      <c r="BD297" s="32">
        <f t="shared" si="305"/>
        <v>-18.9417531765793</v>
      </c>
      <c r="BE297" s="31">
        <f t="shared" si="306"/>
        <v>153.290764535618</v>
      </c>
      <c r="BF297" s="30" t="str">
        <f t="shared" si="307"/>
        <v>0,0559587033451367+0,0887996013855433i</v>
      </c>
      <c r="BG297" s="68">
        <f t="shared" si="308"/>
        <v>-19.5794667582982</v>
      </c>
      <c r="BH297" s="31">
        <f t="shared" si="309"/>
        <v>57.7821653566769</v>
      </c>
      <c r="BI297" s="30" t="str">
        <f t="shared" si="263"/>
        <v>0,00941280706091643+0,515494696490955i</v>
      </c>
      <c r="BJ297" s="68">
        <f t="shared" si="310"/>
        <v>-5.75406819173375</v>
      </c>
      <c r="BK297" s="31">
        <f t="shared" si="264"/>
        <v>88.953909333134</v>
      </c>
      <c r="BL297" s="32">
        <f t="shared" si="311"/>
        <v>-19.5794667582982</v>
      </c>
      <c r="BM297" s="31">
        <f t="shared" si="312"/>
        <v>57.7821653566769</v>
      </c>
      <c r="BO297">
        <f t="shared" si="313"/>
        <v>0</v>
      </c>
      <c r="BP297">
        <f t="shared" si="314"/>
        <v>0</v>
      </c>
    </row>
    <row r="298" spans="14:68">
      <c r="N298" s="7">
        <v>80</v>
      </c>
      <c r="O298" s="18">
        <f t="shared" si="315"/>
        <v>6309.57344480194</v>
      </c>
      <c r="P298" s="86" t="str">
        <f t="shared" si="265"/>
        <v>163,636363636364</v>
      </c>
      <c r="Q298" s="4" t="str">
        <f t="shared" si="266"/>
        <v>1+242,190138886386i</v>
      </c>
      <c r="R298" s="4">
        <f t="shared" si="277"/>
        <v>242.192203371221</v>
      </c>
      <c r="S298" s="4">
        <f t="shared" si="278"/>
        <v>1.56666736299063</v>
      </c>
      <c r="T298" s="4" t="str">
        <f t="shared" si="267"/>
        <v>1+0,621621356475056i</v>
      </c>
      <c r="U298" s="4">
        <f t="shared" si="279"/>
        <v>1.17746044979264</v>
      </c>
      <c r="V298" s="4">
        <f t="shared" si="280"/>
        <v>0.55616603887404</v>
      </c>
      <c r="W298" t="str">
        <f t="shared" si="268"/>
        <v>1-0,594663287444251i</v>
      </c>
      <c r="X298" s="4">
        <f t="shared" si="281"/>
        <v>1.16345366277906</v>
      </c>
      <c r="Y298" s="4">
        <f t="shared" si="282"/>
        <v>-0.536486206484076</v>
      </c>
      <c r="Z298" t="str">
        <f t="shared" si="269"/>
        <v>0,99967501455465+0,123180252399166i</v>
      </c>
      <c r="AA298" s="4">
        <f t="shared" si="283"/>
        <v>1.0072355778595</v>
      </c>
      <c r="AB298" s="4">
        <f t="shared" si="284"/>
        <v>0.122602289673416</v>
      </c>
      <c r="AC298" s="67" t="str">
        <f t="shared" si="285"/>
        <v>-0,0906370314485953-0,91445255228586i</v>
      </c>
      <c r="AD298" s="68">
        <f t="shared" si="286"/>
        <v>-0.734319528494317</v>
      </c>
      <c r="AE298" s="31">
        <f t="shared" si="287"/>
        <v>-95.6604502197104</v>
      </c>
      <c r="AF298" s="32" t="str">
        <f t="shared" si="288"/>
        <v>748,315388573934</v>
      </c>
      <c r="AG298" s="32" t="str">
        <f t="shared" si="270"/>
        <v>1+197,340113166685i</v>
      </c>
      <c r="AH298" s="32">
        <f t="shared" si="289"/>
        <v>197.342646847153</v>
      </c>
      <c r="AI298" s="32">
        <f t="shared" si="290"/>
        <v>1.56572897670275</v>
      </c>
      <c r="AJ298" s="32" t="str">
        <f t="shared" si="271"/>
        <v>1+0,621621356475056i</v>
      </c>
      <c r="AK298" s="32">
        <f t="shared" si="291"/>
        <v>1.17746044979264</v>
      </c>
      <c r="AL298" s="32">
        <f t="shared" si="292"/>
        <v>0.55616603887404</v>
      </c>
      <c r="AM298" s="32" t="str">
        <f t="shared" si="272"/>
        <v>1-0,105953632481384i</v>
      </c>
      <c r="AN298" s="32">
        <f t="shared" si="293"/>
        <v>1.00559742055954</v>
      </c>
      <c r="AO298" s="32">
        <f t="shared" si="294"/>
        <v>-0.105559797278646</v>
      </c>
      <c r="AP298" s="30" t="str">
        <f t="shared" si="295"/>
        <v>1,97584685812967-4,03174932798725i</v>
      </c>
      <c r="AQ298" s="32">
        <f t="shared" si="296"/>
        <v>13.0446841288601</v>
      </c>
      <c r="AR298" s="31">
        <f t="shared" si="297"/>
        <v>-63.8918263607363</v>
      </c>
      <c r="AS298" t="str">
        <f t="shared" si="273"/>
        <v>-0,0000504684572142411</v>
      </c>
      <c r="AT298" t="str">
        <f t="shared" si="274"/>
        <v>0,00890805604591487i</v>
      </c>
      <c r="AU298">
        <f t="shared" si="298"/>
        <v>0.00890805604591487</v>
      </c>
      <c r="AV298">
        <f t="shared" si="299"/>
        <v>1.5707963267949</v>
      </c>
      <c r="AW298" t="str">
        <f t="shared" si="275"/>
        <v>1+0,456076130557302i</v>
      </c>
      <c r="AX298">
        <f t="shared" si="300"/>
        <v>1.09909300646675</v>
      </c>
      <c r="AY298">
        <f t="shared" si="301"/>
        <v>0.427895335333278</v>
      </c>
      <c r="AZ298" t="str">
        <f t="shared" si="276"/>
        <v>1+21,8043205396225i</v>
      </c>
      <c r="BA298">
        <f t="shared" si="302"/>
        <v>21.8272397291688</v>
      </c>
      <c r="BB298">
        <f t="shared" si="303"/>
        <v>1.52496597130959</v>
      </c>
      <c r="BC298" s="30" t="str">
        <f t="shared" si="304"/>
        <v>-0,100122195748527+0,0513288285420887i</v>
      </c>
      <c r="BD298" s="32">
        <f t="shared" si="305"/>
        <v>-18.9759707608204</v>
      </c>
      <c r="BE298" s="31">
        <f t="shared" si="306"/>
        <v>152.857517269176</v>
      </c>
      <c r="BF298" s="30" t="str">
        <f t="shared" si="307"/>
        <v>0,056012556870918+0,0869047047959162i</v>
      </c>
      <c r="BG298" s="68">
        <f t="shared" si="308"/>
        <v>-19.7102902893147</v>
      </c>
      <c r="BH298" s="31">
        <f t="shared" si="309"/>
        <v>57.1970670494656</v>
      </c>
      <c r="BI298" s="30" t="str">
        <f t="shared" si="263"/>
        <v>0,00911884408216804+0,505085500032094i</v>
      </c>
      <c r="BJ298" s="68">
        <f t="shared" si="310"/>
        <v>-5.93128663196032</v>
      </c>
      <c r="BK298" s="31">
        <f t="shared" si="264"/>
        <v>88.9656909084397</v>
      </c>
      <c r="BL298" s="32">
        <f t="shared" si="311"/>
        <v>-19.7102902893147</v>
      </c>
      <c r="BM298" s="31">
        <f t="shared" si="312"/>
        <v>57.1970670494656</v>
      </c>
      <c r="BO298">
        <f t="shared" si="313"/>
        <v>0</v>
      </c>
      <c r="BP298">
        <f t="shared" si="314"/>
        <v>0</v>
      </c>
    </row>
    <row r="299" spans="14:68">
      <c r="N299" s="7">
        <v>81</v>
      </c>
      <c r="O299" s="18">
        <f t="shared" si="315"/>
        <v>6456.54229034656</v>
      </c>
      <c r="P299" s="86" t="str">
        <f t="shared" si="265"/>
        <v>163,636363636364</v>
      </c>
      <c r="Q299" s="4" t="str">
        <f t="shared" si="266"/>
        <v>1+247,831471921941i</v>
      </c>
      <c r="R299" s="4">
        <f t="shared" si="277"/>
        <v>247.833489413751</v>
      </c>
      <c r="S299" s="4">
        <f t="shared" si="278"/>
        <v>1.56676134864937</v>
      </c>
      <c r="T299" s="4" t="str">
        <f t="shared" si="267"/>
        <v>1+0,636100777932981i</v>
      </c>
      <c r="U299" s="4">
        <f t="shared" si="279"/>
        <v>1.18516842671704</v>
      </c>
      <c r="V299" s="4">
        <f t="shared" si="280"/>
        <v>0.56654210189423</v>
      </c>
      <c r="W299" t="str">
        <f t="shared" si="268"/>
        <v>1-0,608514774808337i</v>
      </c>
      <c r="X299" s="4">
        <f t="shared" si="281"/>
        <v>1.17059396511346</v>
      </c>
      <c r="Y299" s="4">
        <f t="shared" si="282"/>
        <v>-0.546656852181402</v>
      </c>
      <c r="Z299" t="str">
        <f t="shared" si="269"/>
        <v>0,999659698462473+0,126049489067441i</v>
      </c>
      <c r="AA299" s="4">
        <f t="shared" si="283"/>
        <v>1.00757530062236</v>
      </c>
      <c r="AB299" s="4">
        <f t="shared" si="284"/>
        <v>0.1254304419129</v>
      </c>
      <c r="AC299" s="67" t="str">
        <f t="shared" si="285"/>
        <v>-0,0921281403770263-0,904455618086757i</v>
      </c>
      <c r="AD299" s="68">
        <f t="shared" si="286"/>
        <v>-0.827426609444567</v>
      </c>
      <c r="AE299" s="31">
        <f t="shared" si="287"/>
        <v>-95.8161068427952</v>
      </c>
      <c r="AF299" s="32" t="str">
        <f t="shared" si="288"/>
        <v>748,315388573934</v>
      </c>
      <c r="AG299" s="32" t="str">
        <f t="shared" si="270"/>
        <v>1+201,936754899359i</v>
      </c>
      <c r="AH299" s="32">
        <f t="shared" si="289"/>
        <v>201.939230906933</v>
      </c>
      <c r="AI299" s="32">
        <f t="shared" si="290"/>
        <v>1.56584432176556</v>
      </c>
      <c r="AJ299" s="32" t="str">
        <f t="shared" si="271"/>
        <v>1+0,636100777932981i</v>
      </c>
      <c r="AK299" s="32">
        <f t="shared" si="291"/>
        <v>1.18516842671704</v>
      </c>
      <c r="AL299" s="32">
        <f t="shared" si="292"/>
        <v>0.56654210189423</v>
      </c>
      <c r="AM299" s="32" t="str">
        <f t="shared" si="272"/>
        <v>1-0,10842160962489i</v>
      </c>
      <c r="AN299" s="32">
        <f t="shared" si="293"/>
        <v>1.0058604502781</v>
      </c>
      <c r="AO299" s="32">
        <f t="shared" si="294"/>
        <v>-0.107999740280724</v>
      </c>
      <c r="AP299" s="30" t="str">
        <f t="shared" si="295"/>
        <v>1,97498431838517-3,95148235698378i</v>
      </c>
      <c r="AQ299" s="32">
        <f t="shared" si="296"/>
        <v>12.9036356783214</v>
      </c>
      <c r="AR299" s="31">
        <f t="shared" si="297"/>
        <v>-63.4437289632761</v>
      </c>
      <c r="AS299" t="str">
        <f t="shared" si="273"/>
        <v>-0,0000504684572142411</v>
      </c>
      <c r="AT299" t="str">
        <f t="shared" si="274"/>
        <v>0,00911555132662889i</v>
      </c>
      <c r="AU299">
        <f t="shared" si="298"/>
        <v>0.00911555132662889</v>
      </c>
      <c r="AV299">
        <f t="shared" si="299"/>
        <v>1.5707963267949</v>
      </c>
      <c r="AW299" t="str">
        <f t="shared" si="275"/>
        <v>1+0,466699508345809i</v>
      </c>
      <c r="AX299">
        <f t="shared" si="300"/>
        <v>1.10354357915318</v>
      </c>
      <c r="AY299">
        <f t="shared" si="301"/>
        <v>0.436654128006274</v>
      </c>
      <c r="AZ299" t="str">
        <f t="shared" si="276"/>
        <v>1+22,312208409639i</v>
      </c>
      <c r="BA299">
        <f t="shared" si="302"/>
        <v>22.3346064240041</v>
      </c>
      <c r="BB299">
        <f t="shared" si="303"/>
        <v>1.52600778676759</v>
      </c>
      <c r="BC299" s="30" t="str">
        <f t="shared" si="304"/>
        <v>-0,0993162419697798+0,051887364038787i</v>
      </c>
      <c r="BD299" s="32">
        <f t="shared" si="305"/>
        <v>-19.0114819261726</v>
      </c>
      <c r="BE299" s="31">
        <f t="shared" si="306"/>
        <v>152.415367044158</v>
      </c>
      <c r="BF299" s="30" t="str">
        <f t="shared" si="307"/>
        <v>0,0560796385945043+0,0850468466588719i</v>
      </c>
      <c r="BG299" s="68">
        <f t="shared" si="308"/>
        <v>-19.8389085356171</v>
      </c>
      <c r="BH299" s="31">
        <f t="shared" si="309"/>
        <v>56.5992602013626</v>
      </c>
      <c r="BI299" s="30" t="str">
        <f t="shared" si="263"/>
        <v>0,0088839830983993+0,494923108204464i</v>
      </c>
      <c r="BJ299" s="68">
        <f t="shared" si="310"/>
        <v>-6.10784624785113</v>
      </c>
      <c r="BK299" s="31">
        <f t="shared" si="264"/>
        <v>88.9716380808817</v>
      </c>
      <c r="BL299" s="32">
        <f t="shared" si="311"/>
        <v>-19.8389085356171</v>
      </c>
      <c r="BM299" s="31">
        <f t="shared" si="312"/>
        <v>56.5992602013626</v>
      </c>
      <c r="BO299">
        <f t="shared" si="313"/>
        <v>0</v>
      </c>
      <c r="BP299">
        <f t="shared" si="314"/>
        <v>0</v>
      </c>
    </row>
    <row r="300" spans="14:68">
      <c r="N300" s="7">
        <v>82</v>
      </c>
      <c r="O300" s="18">
        <f t="shared" si="315"/>
        <v>6606.93448007597</v>
      </c>
      <c r="P300" s="86" t="str">
        <f t="shared" si="265"/>
        <v>163,636363636364</v>
      </c>
      <c r="Q300" s="4" t="str">
        <f t="shared" si="266"/>
        <v>1+253,604208484347i</v>
      </c>
      <c r="R300" s="4">
        <f t="shared" si="277"/>
        <v>253.606180052798</v>
      </c>
      <c r="S300" s="4">
        <f t="shared" si="278"/>
        <v>1.56685319500222</v>
      </c>
      <c r="T300" s="4" t="str">
        <f t="shared" si="267"/>
        <v>1+0,650917468443157i</v>
      </c>
      <c r="U300" s="4">
        <f t="shared" si="279"/>
        <v>1.19318630176702</v>
      </c>
      <c r="V300" s="4">
        <f t="shared" si="280"/>
        <v>0.577019919253472</v>
      </c>
      <c r="W300" t="str">
        <f t="shared" si="268"/>
        <v>1-0,622688904760673i</v>
      </c>
      <c r="X300" s="4">
        <f t="shared" si="281"/>
        <v>1.17802439368293</v>
      </c>
      <c r="Y300" s="4">
        <f t="shared" si="282"/>
        <v>-0.556935677682173</v>
      </c>
      <c r="Z300" t="str">
        <f t="shared" si="269"/>
        <v>0,99964366054511+0,128985558843282i</v>
      </c>
      <c r="AA300" s="4">
        <f t="shared" si="283"/>
        <v>1.00793091155006</v>
      </c>
      <c r="AB300" s="4">
        <f t="shared" si="284"/>
        <v>0.128322519286729</v>
      </c>
      <c r="AC300" s="67" t="str">
        <f t="shared" si="285"/>
        <v>-0,0936759783844437-0,894922560562295i</v>
      </c>
      <c r="AD300" s="68">
        <f t="shared" si="286"/>
        <v>-0.916964692397222</v>
      </c>
      <c r="AE300" s="31">
        <f t="shared" si="287"/>
        <v>-95.9756716850747</v>
      </c>
      <c r="AF300" s="32" t="str">
        <f t="shared" si="288"/>
        <v>748,315388573934</v>
      </c>
      <c r="AG300" s="32" t="str">
        <f t="shared" si="270"/>
        <v>1+206,640466172431i</v>
      </c>
      <c r="AH300" s="32">
        <f t="shared" si="289"/>
        <v>206.64288581986</v>
      </c>
      <c r="AI300" s="32">
        <f t="shared" si="290"/>
        <v>1.56595704138153</v>
      </c>
      <c r="AJ300" s="32" t="str">
        <f t="shared" si="271"/>
        <v>1+0,650917468443157i</v>
      </c>
      <c r="AK300" s="32">
        <f t="shared" si="291"/>
        <v>1.19318630176702</v>
      </c>
      <c r="AL300" s="32">
        <f t="shared" si="292"/>
        <v>0.577019919253472</v>
      </c>
      <c r="AM300" s="32" t="str">
        <f t="shared" si="272"/>
        <v>1-0,11094707334095i</v>
      </c>
      <c r="AN300" s="32">
        <f t="shared" si="293"/>
        <v>1.00613580250527</v>
      </c>
      <c r="AO300" s="32">
        <f t="shared" si="294"/>
        <v>-0.110495180948369</v>
      </c>
      <c r="AP300" s="30" t="str">
        <f t="shared" si="295"/>
        <v>1,97416059746292-3,87331012965351i</v>
      </c>
      <c r="AQ300" s="32">
        <f t="shared" si="296"/>
        <v>12.7645816033653</v>
      </c>
      <c r="AR300" s="31">
        <f t="shared" si="297"/>
        <v>-62.992830826627</v>
      </c>
      <c r="AS300" t="str">
        <f t="shared" si="273"/>
        <v>-0,0000504684572142411</v>
      </c>
      <c r="AT300" t="str">
        <f t="shared" si="274"/>
        <v>0,00932787979331488i</v>
      </c>
      <c r="AU300">
        <f t="shared" si="298"/>
        <v>0.00932787979331488</v>
      </c>
      <c r="AV300">
        <f t="shared" si="299"/>
        <v>1.5707963267949</v>
      </c>
      <c r="AW300" t="str">
        <f t="shared" si="275"/>
        <v>1+0,47757033639114i</v>
      </c>
      <c r="AX300">
        <f t="shared" si="300"/>
        <v>1.10818474371413</v>
      </c>
      <c r="AY300">
        <f t="shared" si="301"/>
        <v>0.44554341014493</v>
      </c>
      <c r="AZ300" t="str">
        <f t="shared" si="276"/>
        <v>1+22,8319265078913i</v>
      </c>
      <c r="BA300">
        <f t="shared" si="302"/>
        <v>22.8538151751901</v>
      </c>
      <c r="BB300">
        <f t="shared" si="303"/>
        <v>1.52702598162923</v>
      </c>
      <c r="BC300" s="30" t="str">
        <f t="shared" si="304"/>
        <v>-0,0984860955660995+0,0524445338862689i</v>
      </c>
      <c r="BD300" s="32">
        <f t="shared" si="305"/>
        <v>-19.0483273617267</v>
      </c>
      <c r="BE300" s="31">
        <f t="shared" si="306"/>
        <v>151.964386963006</v>
      </c>
      <c r="BF300" s="30" t="str">
        <f t="shared" si="307"/>
        <v>0,056159577912414+0,0832246358010843i</v>
      </c>
      <c r="BG300" s="68">
        <f t="shared" si="308"/>
        <v>-19.9652920541239</v>
      </c>
      <c r="BH300" s="31">
        <f t="shared" si="309"/>
        <v>55.9887152779313</v>
      </c>
      <c r="BI300" s="30" t="str">
        <f t="shared" si="263"/>
        <v>0,00870657508208089+0,485001123936778i</v>
      </c>
      <c r="BJ300" s="68">
        <f t="shared" si="310"/>
        <v>-6.2837457583614</v>
      </c>
      <c r="BK300" s="31">
        <f t="shared" si="264"/>
        <v>88.971556136379</v>
      </c>
      <c r="BL300" s="32">
        <f t="shared" si="311"/>
        <v>-19.9652920541239</v>
      </c>
      <c r="BM300" s="31">
        <f t="shared" si="312"/>
        <v>55.9887152779313</v>
      </c>
      <c r="BO300">
        <f t="shared" si="313"/>
        <v>0</v>
      </c>
      <c r="BP300">
        <f t="shared" si="314"/>
        <v>0</v>
      </c>
    </row>
    <row r="301" spans="14:68">
      <c r="N301" s="7">
        <v>83</v>
      </c>
      <c r="O301" s="18">
        <f t="shared" si="315"/>
        <v>6760.82975391982</v>
      </c>
      <c r="P301" s="86" t="str">
        <f t="shared" si="265"/>
        <v>163,636363636364</v>
      </c>
      <c r="Q301" s="4" t="str">
        <f t="shared" si="266"/>
        <v>1+259,51140935494i</v>
      </c>
      <c r="R301" s="4">
        <f t="shared" si="277"/>
        <v>259.513336045351</v>
      </c>
      <c r="S301" s="4">
        <f t="shared" si="278"/>
        <v>1.56694295074111</v>
      </c>
      <c r="T301" s="4" t="str">
        <f t="shared" si="267"/>
        <v>1+0,666079284011011i</v>
      </c>
      <c r="U301" s="4">
        <f t="shared" si="279"/>
        <v>1.20152470327856</v>
      </c>
      <c r="V301" s="4">
        <f t="shared" si="280"/>
        <v>0.587595843766707</v>
      </c>
      <c r="W301" t="str">
        <f t="shared" si="268"/>
        <v>1-0,637193192612575i</v>
      </c>
      <c r="X301" s="4">
        <f t="shared" si="281"/>
        <v>1.18575510317764</v>
      </c>
      <c r="Y301" s="4">
        <f t="shared" si="282"/>
        <v>-0.567319444542472</v>
      </c>
      <c r="Z301" t="str">
        <f t="shared" si="269"/>
        <v>0,999626866783988+0,131990018469748i</v>
      </c>
      <c r="AA301" s="4">
        <f t="shared" si="283"/>
        <v>1.00830314775469</v>
      </c>
      <c r="AB301" s="4">
        <f t="shared" si="284"/>
        <v>0.131279874217745</v>
      </c>
      <c r="AC301" s="67" t="str">
        <f t="shared" si="285"/>
        <v>-0,0952835541580866-0,885847245645433i</v>
      </c>
      <c r="AD301" s="68">
        <f t="shared" si="286"/>
        <v>-1.00286553794288</v>
      </c>
      <c r="AE301" s="31">
        <f t="shared" si="287"/>
        <v>-96.1392484436554</v>
      </c>
      <c r="AF301" s="32" t="str">
        <f t="shared" si="288"/>
        <v>748,315388573934</v>
      </c>
      <c r="AG301" s="32" t="str">
        <f t="shared" si="270"/>
        <v>1+211,453740955877i</v>
      </c>
      <c r="AH301" s="32">
        <f t="shared" si="289"/>
        <v>211.456105526029</v>
      </c>
      <c r="AI301" s="32">
        <f t="shared" si="290"/>
        <v>1.56606719530461</v>
      </c>
      <c r="AJ301" s="32" t="str">
        <f t="shared" si="271"/>
        <v>1+0,666079284011011i</v>
      </c>
      <c r="AK301" s="32">
        <f t="shared" si="291"/>
        <v>1.20152470327856</v>
      </c>
      <c r="AL301" s="32">
        <f t="shared" si="292"/>
        <v>0.587595843766707</v>
      </c>
      <c r="AM301" s="32" t="str">
        <f t="shared" si="272"/>
        <v>1-0,113531362663853i</v>
      </c>
      <c r="AN301" s="32">
        <f t="shared" si="293"/>
        <v>1.00642405093892</v>
      </c>
      <c r="AO301" s="32">
        <f t="shared" si="294"/>
        <v>-0.113047318012359</v>
      </c>
      <c r="AP301" s="30" t="str">
        <f t="shared" si="295"/>
        <v>1,97337394839188-3,79719122371445i</v>
      </c>
      <c r="AQ301" s="32">
        <f t="shared" si="296"/>
        <v>12.6275631590368</v>
      </c>
      <c r="AR301" s="31">
        <f t="shared" si="297"/>
        <v>-62.5394130249646</v>
      </c>
      <c r="AS301" t="str">
        <f t="shared" si="273"/>
        <v>-0,0000504684572142411</v>
      </c>
      <c r="AT301" t="str">
        <f t="shared" si="274"/>
        <v>0,00954515402533636i</v>
      </c>
      <c r="AU301">
        <f t="shared" si="298"/>
        <v>0.00954515402533636</v>
      </c>
      <c r="AV301">
        <f t="shared" si="299"/>
        <v>1.5707963267949</v>
      </c>
      <c r="AW301" t="str">
        <f t="shared" si="275"/>
        <v>1+0,488694378550216i</v>
      </c>
      <c r="AX301">
        <f t="shared" si="300"/>
        <v>1.11302389714982</v>
      </c>
      <c r="AY301">
        <f t="shared" si="301"/>
        <v>0.454562274555776</v>
      </c>
      <c r="AZ301" t="str">
        <f t="shared" si="276"/>
        <v>1+23,3637503957944i</v>
      </c>
      <c r="BA301">
        <f t="shared" si="302"/>
        <v>23.3851412772509</v>
      </c>
      <c r="BB301">
        <f t="shared" si="303"/>
        <v>1.52802108730544</v>
      </c>
      <c r="BC301" s="30" t="str">
        <f t="shared" si="304"/>
        <v>-0,0976315707306326+0,0529993379548313i</v>
      </c>
      <c r="BD301" s="32">
        <f t="shared" si="305"/>
        <v>-19.0865480579609</v>
      </c>
      <c r="BE301" s="31">
        <f t="shared" si="306"/>
        <v>151.50465945168</v>
      </c>
      <c r="BF301" s="30" t="str">
        <f t="shared" si="307"/>
        <v>0,0562520006055701+0,0814366927314063i</v>
      </c>
      <c r="BG301" s="68">
        <f t="shared" si="308"/>
        <v>-20.0894135959037</v>
      </c>
      <c r="BH301" s="31">
        <f t="shared" si="309"/>
        <v>55.3654110080247</v>
      </c>
      <c r="BI301" s="30" t="str">
        <f t="shared" si="263"/>
        <v>0,00858502272435199+0,475313256337896i</v>
      </c>
      <c r="BJ301" s="68">
        <f t="shared" si="310"/>
        <v>-6.45898489892407</v>
      </c>
      <c r="BK301" s="31">
        <f t="shared" si="264"/>
        <v>88.9652464267155</v>
      </c>
      <c r="BL301" s="32">
        <f t="shared" si="311"/>
        <v>-20.0894135959037</v>
      </c>
      <c r="BM301" s="31">
        <f t="shared" si="312"/>
        <v>55.3654110080247</v>
      </c>
      <c r="BO301">
        <f t="shared" si="313"/>
        <v>0</v>
      </c>
      <c r="BP301">
        <f t="shared" si="314"/>
        <v>0</v>
      </c>
    </row>
    <row r="302" spans="14:68">
      <c r="N302" s="7">
        <v>84</v>
      </c>
      <c r="O302" s="18">
        <f t="shared" si="315"/>
        <v>6918.30970918937</v>
      </c>
      <c r="P302" s="86" t="str">
        <f t="shared" si="265"/>
        <v>163,636363636364</v>
      </c>
      <c r="Q302" s="4" t="str">
        <f t="shared" si="266"/>
        <v>1+265,556206609812i</v>
      </c>
      <c r="R302" s="4">
        <f t="shared" si="277"/>
        <v>265.558089443709</v>
      </c>
      <c r="S302" s="4">
        <f t="shared" si="278"/>
        <v>1.56703066344994</v>
      </c>
      <c r="T302" s="4" t="str">
        <f t="shared" si="267"/>
        <v>1+0,681594263631849i</v>
      </c>
      <c r="U302" s="4">
        <f t="shared" si="279"/>
        <v>1.21019450511719</v>
      </c>
      <c r="V302" s="4">
        <f t="shared" si="280"/>
        <v>0.598266019433879</v>
      </c>
      <c r="W302" t="str">
        <f t="shared" si="268"/>
        <v>1-0,652035328729448i</v>
      </c>
      <c r="X302" s="4">
        <f t="shared" si="281"/>
        <v>1.19379649434538</v>
      </c>
      <c r="Y302" s="4">
        <f t="shared" si="282"/>
        <v>-0.577804701218365</v>
      </c>
      <c r="Z302" t="str">
        <f t="shared" si="269"/>
        <v>0,999609281557288+0,1350644609511i</v>
      </c>
      <c r="AA302" s="4">
        <f t="shared" si="283"/>
        <v>1.00869277998184</v>
      </c>
      <c r="AB302" s="4">
        <f t="shared" si="284"/>
        <v>0.134303881214972</v>
      </c>
      <c r="AC302" s="67" t="str">
        <f t="shared" si="285"/>
        <v>-0,096953977488133-0,8772237085519i</v>
      </c>
      <c r="AD302" s="68">
        <f t="shared" si="286"/>
        <v>-1.085063036894</v>
      </c>
      <c r="AE302" s="31">
        <f t="shared" si="287"/>
        <v>-96.3069417720882</v>
      </c>
      <c r="AF302" s="32" t="str">
        <f t="shared" si="288"/>
        <v>748,315388573934</v>
      </c>
      <c r="AG302" s="32" t="str">
        <f t="shared" si="270"/>
        <v>1+216,379131311698i</v>
      </c>
      <c r="AH302" s="32">
        <f t="shared" si="289"/>
        <v>216.381442058244</v>
      </c>
      <c r="AI302" s="32">
        <f t="shared" si="290"/>
        <v>1.56617484192917</v>
      </c>
      <c r="AJ302" s="32" t="str">
        <f t="shared" si="271"/>
        <v>1+0,681594263631849i</v>
      </c>
      <c r="AK302" s="32">
        <f t="shared" si="291"/>
        <v>1.21019450511719</v>
      </c>
      <c r="AL302" s="32">
        <f t="shared" si="292"/>
        <v>0.598266019433879</v>
      </c>
      <c r="AM302" s="32" t="str">
        <f t="shared" si="272"/>
        <v>1-0,116175847818005i</v>
      </c>
      <c r="AN302" s="32">
        <f t="shared" si="293"/>
        <v>1.00672579564459</v>
      </c>
      <c r="AO302" s="32">
        <f t="shared" si="294"/>
        <v>-0.115657371592694</v>
      </c>
      <c r="AP302" s="30" t="str">
        <f t="shared" si="295"/>
        <v>1,97262270281325-3,72308530386968i</v>
      </c>
      <c r="AQ302" s="32">
        <f t="shared" si="296"/>
        <v>12.4926207797006</v>
      </c>
      <c r="AR302" s="31">
        <f t="shared" si="297"/>
        <v>-62.083769744295</v>
      </c>
      <c r="AS302" t="str">
        <f t="shared" si="273"/>
        <v>-0,0000504684572142411</v>
      </c>
      <c r="AT302" t="str">
        <f t="shared" si="274"/>
        <v>0,00976748922436713i</v>
      </c>
      <c r="AU302">
        <f t="shared" si="298"/>
        <v>0.00976748922436713</v>
      </c>
      <c r="AV302">
        <f t="shared" si="299"/>
        <v>1.5707963267949</v>
      </c>
      <c r="AW302" t="str">
        <f t="shared" si="275"/>
        <v>1+0,500077532937434i</v>
      </c>
      <c r="AX302">
        <f t="shared" si="300"/>
        <v>1.11806866468424</v>
      </c>
      <c r="AY302">
        <f t="shared" si="301"/>
        <v>0.463709633427099</v>
      </c>
      <c r="AZ302" t="str">
        <f t="shared" si="276"/>
        <v>1+23,907962053413i</v>
      </c>
      <c r="BA302">
        <f t="shared" si="302"/>
        <v>23.9288664492791</v>
      </c>
      <c r="BB302">
        <f t="shared" si="303"/>
        <v>1.52899362352682</v>
      </c>
      <c r="BC302" s="30" t="str">
        <f t="shared" si="304"/>
        <v>-0,0967525237808055+0,0535507470570293i</v>
      </c>
      <c r="BD302" s="32">
        <f t="shared" si="305"/>
        <v>-19.1261852412777</v>
      </c>
      <c r="BE302" s="31">
        <f t="shared" si="306"/>
        <v>151.03627661557</v>
      </c>
      <c r="BF302" s="30" t="str">
        <f t="shared" si="307"/>
        <v>0,0563565269416563+0,0796816497981142i</v>
      </c>
      <c r="BG302" s="68">
        <f t="shared" si="308"/>
        <v>-20.2112482781717</v>
      </c>
      <c r="BH302" s="31">
        <f t="shared" si="309"/>
        <v>54.729334843482</v>
      </c>
      <c r="BI302" s="30" t="str">
        <f t="shared" si="263"/>
        <v>0,00851777441477253+0,465853318797924i</v>
      </c>
      <c r="BJ302" s="68">
        <f t="shared" si="310"/>
        <v>-6.63356446157712</v>
      </c>
      <c r="BK302" s="31">
        <f t="shared" si="264"/>
        <v>88.9525068712751</v>
      </c>
      <c r="BL302" s="32">
        <f t="shared" si="311"/>
        <v>-20.2112482781717</v>
      </c>
      <c r="BM302" s="31">
        <f t="shared" si="312"/>
        <v>54.729334843482</v>
      </c>
      <c r="BO302">
        <f t="shared" si="313"/>
        <v>0</v>
      </c>
      <c r="BP302">
        <f t="shared" si="314"/>
        <v>0</v>
      </c>
    </row>
    <row r="303" spans="14:68">
      <c r="N303" s="7">
        <v>85</v>
      </c>
      <c r="O303" s="18">
        <f t="shared" si="315"/>
        <v>7079.45784384138</v>
      </c>
      <c r="P303" s="86" t="str">
        <f t="shared" si="265"/>
        <v>163,636363636364</v>
      </c>
      <c r="Q303" s="4" t="str">
        <f t="shared" si="266"/>
        <v>1+271,74180528048i</v>
      </c>
      <c r="R303" s="4">
        <f t="shared" si="277"/>
        <v>271.743645256139</v>
      </c>
      <c r="S303" s="4">
        <f t="shared" si="278"/>
        <v>1.56711637962976</v>
      </c>
      <c r="T303" s="4" t="str">
        <f t="shared" si="267"/>
        <v>1+0,697470633553232i</v>
      </c>
      <c r="U303" s="4">
        <f t="shared" si="279"/>
        <v>1.21920682604271</v>
      </c>
      <c r="V303" s="4">
        <f t="shared" si="280"/>
        <v>0.609026385051883</v>
      </c>
      <c r="W303" t="str">
        <f t="shared" si="268"/>
        <v>1-0,667223182608322i</v>
      </c>
      <c r="X303" s="4">
        <f t="shared" si="281"/>
        <v>1.20215921383566</v>
      </c>
      <c r="Y303" s="4">
        <f t="shared" si="282"/>
        <v>-0.588387784860641</v>
      </c>
      <c r="Z303" t="str">
        <f t="shared" si="269"/>
        <v>0,999590867564386+0,138210516397438i</v>
      </c>
      <c r="AA303" s="4">
        <f t="shared" si="283"/>
        <v>1.00910061409206</v>
      </c>
      <c r="AB303" s="4">
        <f t="shared" si="284"/>
        <v>0.137395936756462</v>
      </c>
      <c r="AC303" s="67" t="str">
        <f t="shared" si="285"/>
        <v>-0,0986904635178757-0,869046145888786i</v>
      </c>
      <c r="AD303" s="68">
        <f t="shared" si="286"/>
        <v>-1.16349344979032</v>
      </c>
      <c r="AE303" s="31">
        <f t="shared" si="287"/>
        <v>-96.4788571709819</v>
      </c>
      <c r="AF303" s="32" t="str">
        <f t="shared" si="288"/>
        <v>748,315388573934</v>
      </c>
      <c r="AG303" s="32" t="str">
        <f t="shared" si="270"/>
        <v>1+221,419248747058i</v>
      </c>
      <c r="AH303" s="32">
        <f t="shared" si="289"/>
        <v>221.421506895133</v>
      </c>
      <c r="AI303" s="32">
        <f t="shared" si="290"/>
        <v>1.5662800383209</v>
      </c>
      <c r="AJ303" s="32" t="str">
        <f t="shared" si="271"/>
        <v>1+0,697470633553232i</v>
      </c>
      <c r="AK303" s="32">
        <f t="shared" si="291"/>
        <v>1.21920682604271</v>
      </c>
      <c r="AL303" s="32">
        <f t="shared" si="292"/>
        <v>0.609026385051883</v>
      </c>
      <c r="AM303" s="32" t="str">
        <f t="shared" si="272"/>
        <v>1-0,11888193094444i</v>
      </c>
      <c r="AN303" s="32">
        <f t="shared" si="293"/>
        <v>1.00704166423494</v>
      </c>
      <c r="AO303" s="32">
        <f t="shared" si="294"/>
        <v>-0.11832658325205</v>
      </c>
      <c r="AP303" s="30" t="str">
        <f t="shared" si="295"/>
        <v>1,97190526744357-3,65095310053538i</v>
      </c>
      <c r="AQ303" s="32">
        <f t="shared" si="296"/>
        <v>12.3597939735473</v>
      </c>
      <c r="AR303" s="31">
        <f t="shared" si="297"/>
        <v>-61.6262080803401</v>
      </c>
      <c r="AS303" t="str">
        <f t="shared" si="273"/>
        <v>-0,0000504684572142411</v>
      </c>
      <c r="AT303" t="str">
        <f t="shared" si="274"/>
        <v>0,00999500327547266i</v>
      </c>
      <c r="AU303">
        <f t="shared" si="298"/>
        <v>0.00999500327547266</v>
      </c>
      <c r="AV303">
        <f t="shared" si="299"/>
        <v>1.5707963267949</v>
      </c>
      <c r="AW303" t="str">
        <f t="shared" si="275"/>
        <v>1+0,511725835051924i</v>
      </c>
      <c r="AX303">
        <f t="shared" si="300"/>
        <v>1.12332690266885</v>
      </c>
      <c r="AY303">
        <f t="shared" si="301"/>
        <v>0.472984212673194</v>
      </c>
      <c r="AZ303" t="str">
        <f t="shared" si="276"/>
        <v>1+24,4648500289717i</v>
      </c>
      <c r="BA303">
        <f t="shared" si="302"/>
        <v>24.4852789843219</v>
      </c>
      <c r="BB303">
        <f t="shared" si="303"/>
        <v>1.52994409858194</v>
      </c>
      <c r="BC303" s="30" t="str">
        <f t="shared" si="304"/>
        <v>-0,0958488561436462+0,0540977047007722i</v>
      </c>
      <c r="BD303" s="32">
        <f t="shared" si="305"/>
        <v>-19.1672803035116</v>
      </c>
      <c r="BE303" s="31">
        <f t="shared" si="306"/>
        <v>150.5593405772</v>
      </c>
      <c r="BF303" s="30" t="str">
        <f t="shared" si="307"/>
        <v>0,0564727698121104+0,0779581514673121i</v>
      </c>
      <c r="BG303" s="68">
        <f t="shared" si="308"/>
        <v>-20.3307737533019</v>
      </c>
      <c r="BH303" s="31">
        <f t="shared" si="309"/>
        <v>54.0804834062185</v>
      </c>
      <c r="BI303" s="30" t="str">
        <f t="shared" si="263"/>
        <v>0,00850331840103474+0,456615227376474i</v>
      </c>
      <c r="BJ303" s="68">
        <f t="shared" si="310"/>
        <v>-6.80748632996433</v>
      </c>
      <c r="BK303" s="31">
        <f t="shared" si="264"/>
        <v>88.9331324968602</v>
      </c>
      <c r="BL303" s="32">
        <f t="shared" si="311"/>
        <v>-20.3307737533019</v>
      </c>
      <c r="BM303" s="31">
        <f t="shared" si="312"/>
        <v>54.0804834062185</v>
      </c>
      <c r="BO303">
        <f t="shared" si="313"/>
        <v>0</v>
      </c>
      <c r="BP303">
        <f t="shared" si="314"/>
        <v>0</v>
      </c>
    </row>
    <row r="304" spans="14:68">
      <c r="N304" s="7">
        <v>86</v>
      </c>
      <c r="O304" s="18">
        <f t="shared" si="315"/>
        <v>7244.3596007499</v>
      </c>
      <c r="P304" s="86" t="str">
        <f t="shared" si="265"/>
        <v>163,636363636364</v>
      </c>
      <c r="Q304" s="4" t="str">
        <f t="shared" si="266"/>
        <v>1+278,071485053236i</v>
      </c>
      <c r="R304" s="4">
        <f t="shared" si="277"/>
        <v>278.07328314621</v>
      </c>
      <c r="S304" s="4">
        <f t="shared" si="278"/>
        <v>1.56720014472336</v>
      </c>
      <c r="T304" s="4" t="str">
        <f t="shared" si="267"/>
        <v>1+0,71371681163664i</v>
      </c>
      <c r="U304" s="4">
        <f t="shared" si="279"/>
        <v>1.22857302884801</v>
      </c>
      <c r="V304" s="4">
        <f t="shared" si="280"/>
        <v>0.61987267880287</v>
      </c>
      <c r="W304" t="str">
        <f t="shared" si="268"/>
        <v>1-0,682764807050357i</v>
      </c>
      <c r="X304" s="4">
        <f t="shared" si="281"/>
        <v>1.21085415378835</v>
      </c>
      <c r="Y304" s="4">
        <f t="shared" si="282"/>
        <v>-0.599064824040988</v>
      </c>
      <c r="Z304" t="str">
        <f t="shared" si="269"/>
        <v>0,999571585746735+0,141429852889002i</v>
      </c>
      <c r="AA304" s="4">
        <f t="shared" si="283"/>
        <v>1.00952749260258</v>
      </c>
      <c r="AB304" s="4">
        <f t="shared" si="284"/>
        <v>0.140557459129131</v>
      </c>
      <c r="AC304" s="67" t="str">
        <f t="shared" si="285"/>
        <v>-0,10049633700883-0,861308907565657i</v>
      </c>
      <c r="AD304" s="68">
        <f t="shared" si="286"/>
        <v>-1.23809564714453</v>
      </c>
      <c r="AE304" s="31">
        <f t="shared" si="287"/>
        <v>-96.6551008735449</v>
      </c>
      <c r="AF304" s="32" t="str">
        <f t="shared" si="288"/>
        <v>748,315388573934</v>
      </c>
      <c r="AG304" s="32" t="str">
        <f t="shared" si="270"/>
        <v>1+226,576765598933i</v>
      </c>
      <c r="AH304" s="32">
        <f t="shared" si="289"/>
        <v>226.578972345789</v>
      </c>
      <c r="AI304" s="32">
        <f t="shared" si="290"/>
        <v>1.566382840247</v>
      </c>
      <c r="AJ304" s="32" t="str">
        <f t="shared" si="271"/>
        <v>1+0,71371681163664i</v>
      </c>
      <c r="AK304" s="32">
        <f t="shared" si="291"/>
        <v>1.22857302884801</v>
      </c>
      <c r="AL304" s="32">
        <f t="shared" si="292"/>
        <v>0.61987267880287</v>
      </c>
      <c r="AM304" s="32" t="str">
        <f t="shared" si="272"/>
        <v>1-0,12165104684425i</v>
      </c>
      <c r="AN304" s="32">
        <f t="shared" si="293"/>
        <v>1.00737231309894</v>
      </c>
      <c r="AO304" s="32">
        <f t="shared" si="294"/>
        <v>-0.121056216021338</v>
      </c>
      <c r="AP304" s="30" t="str">
        <f t="shared" si="295"/>
        <v>1,97122012069701-3,58075638912634i</v>
      </c>
      <c r="AQ304" s="32">
        <f t="shared" si="296"/>
        <v>12.2291212178959</v>
      </c>
      <c r="AR304" s="31">
        <f t="shared" si="297"/>
        <v>-61.1670477788414</v>
      </c>
      <c r="AS304" t="str">
        <f t="shared" si="273"/>
        <v>-0,0000504684572142411</v>
      </c>
      <c r="AT304" t="str">
        <f t="shared" si="274"/>
        <v>0,0102278168096144i</v>
      </c>
      <c r="AU304">
        <f t="shared" si="298"/>
        <v>0.0102278168096144</v>
      </c>
      <c r="AV304">
        <f t="shared" si="299"/>
        <v>1.5707963267949</v>
      </c>
      <c r="AW304" t="str">
        <f t="shared" si="275"/>
        <v>1+0,523645460977651i</v>
      </c>
      <c r="AX304">
        <f t="shared" si="300"/>
        <v>1.12880670125691</v>
      </c>
      <c r="AY304">
        <f t="shared" si="301"/>
        <v>0.482384546645558</v>
      </c>
      <c r="AZ304" t="str">
        <f t="shared" si="276"/>
        <v>1+25,0347095918464i</v>
      </c>
      <c r="BA304">
        <f t="shared" si="302"/>
        <v>25.05467390225</v>
      </c>
      <c r="BB304">
        <f t="shared" si="303"/>
        <v>1.53087300955206</v>
      </c>
      <c r="BC304" s="30" t="str">
        <f t="shared" si="304"/>
        <v>-0,0949205172986166+0,0546391291237522i</v>
      </c>
      <c r="BD304" s="32">
        <f t="shared" si="305"/>
        <v>-19.2098747264602</v>
      </c>
      <c r="BE304" s="31">
        <f t="shared" si="306"/>
        <v>150.073963792701</v>
      </c>
      <c r="BF304" s="30" t="str">
        <f t="shared" si="307"/>
        <v>0,0566003329114121+0,0762648547257489i</v>
      </c>
      <c r="BG304" s="68">
        <f t="shared" si="308"/>
        <v>-20.4479703736047</v>
      </c>
      <c r="BH304" s="31">
        <f t="shared" si="309"/>
        <v>53.4188629191565</v>
      </c>
      <c r="BI304" s="30" t="str">
        <f t="shared" si="263"/>
        <v>0,00854017714017313+0,447592999482301i</v>
      </c>
      <c r="BJ304" s="68">
        <f t="shared" si="310"/>
        <v>-6.98075350856423</v>
      </c>
      <c r="BK304" s="31">
        <f t="shared" si="264"/>
        <v>88.90691601386</v>
      </c>
      <c r="BL304" s="32">
        <f t="shared" si="311"/>
        <v>-20.4479703736047</v>
      </c>
      <c r="BM304" s="31">
        <f t="shared" si="312"/>
        <v>53.4188629191565</v>
      </c>
      <c r="BO304">
        <f t="shared" si="313"/>
        <v>0</v>
      </c>
      <c r="BP304">
        <f t="shared" si="314"/>
        <v>0</v>
      </c>
    </row>
    <row r="305" spans="14:68">
      <c r="N305" s="7">
        <v>87</v>
      </c>
      <c r="O305" s="18">
        <f t="shared" si="315"/>
        <v>7413.10241300918</v>
      </c>
      <c r="P305" s="86" t="str">
        <f t="shared" si="265"/>
        <v>163,636363636364</v>
      </c>
      <c r="Q305" s="4" t="str">
        <f t="shared" si="266"/>
        <v>1+284,54860200808i</v>
      </c>
      <c r="R305" s="4">
        <f t="shared" si="277"/>
        <v>284.550359171716</v>
      </c>
      <c r="S305" s="4">
        <f t="shared" si="278"/>
        <v>1.56728200313941</v>
      </c>
      <c r="T305" s="4" t="str">
        <f t="shared" si="267"/>
        <v>1+0,730341411820737i</v>
      </c>
      <c r="U305" s="4">
        <f t="shared" si="279"/>
        <v>1.23830471929179</v>
      </c>
      <c r="V305" s="4">
        <f t="shared" si="280"/>
        <v>0.630800443831653</v>
      </c>
      <c r="W305" t="str">
        <f t="shared" si="268"/>
        <v>1-0,698668442430553i</v>
      </c>
      <c r="X305" s="4">
        <f t="shared" si="281"/>
        <v>1.21989245118098</v>
      </c>
      <c r="Y305" s="4">
        <f t="shared" si="282"/>
        <v>-0.609831742436098</v>
      </c>
      <c r="Z305" t="str">
        <f t="shared" si="269"/>
        <v>0,999551395205014+0,144724177360614i</v>
      </c>
      <c r="AA305" s="4">
        <f t="shared" si="283"/>
        <v>1.00997429629125</v>
      </c>
      <c r="AB305" s="4">
        <f t="shared" si="284"/>
        <v>0.143789888222261</v>
      </c>
      <c r="AC305" s="67" t="str">
        <f t="shared" si="285"/>
        <v>-0,102375036612231-0,854006488490114i</v>
      </c>
      <c r="AD305" s="68">
        <f t="shared" si="286"/>
        <v>-1.30881134905004</v>
      </c>
      <c r="AE305" s="31">
        <f t="shared" si="287"/>
        <v>-96.8357797266556</v>
      </c>
      <c r="AF305" s="32" t="str">
        <f t="shared" si="288"/>
        <v>748,315388573934</v>
      </c>
      <c r="AG305" s="32" t="str">
        <f t="shared" si="270"/>
        <v>1+231,854416451028i</v>
      </c>
      <c r="AH305" s="32">
        <f t="shared" si="289"/>
        <v>231.856572966666</v>
      </c>
      <c r="AI305" s="32">
        <f t="shared" si="290"/>
        <v>1.56648330220571</v>
      </c>
      <c r="AJ305" s="32" t="str">
        <f t="shared" si="271"/>
        <v>1+0,730341411820737i</v>
      </c>
      <c r="AK305" s="32">
        <f t="shared" si="291"/>
        <v>1.23830471929179</v>
      </c>
      <c r="AL305" s="32">
        <f t="shared" si="292"/>
        <v>0.630800443831653</v>
      </c>
      <c r="AM305" s="32" t="str">
        <f t="shared" si="272"/>
        <v>1-0,124484663739339i</v>
      </c>
      <c r="AN305" s="32">
        <f t="shared" si="293"/>
        <v>1.00771842868248</v>
      </c>
      <c r="AO305" s="32">
        <f t="shared" si="294"/>
        <v>-0.123847554394916</v>
      </c>
      <c r="AP305" s="30" t="str">
        <f t="shared" si="295"/>
        <v>1,97056580945941-3,51245796988828i</v>
      </c>
      <c r="AQ305" s="32">
        <f t="shared" si="296"/>
        <v>12.1006398560234</v>
      </c>
      <c r="AR305" s="31">
        <f t="shared" si="297"/>
        <v>-60.7066209174161</v>
      </c>
      <c r="AS305" t="str">
        <f t="shared" si="273"/>
        <v>-0,0000504684572142411</v>
      </c>
      <c r="AT305" t="str">
        <f t="shared" si="274"/>
        <v>0,0104660532676097i</v>
      </c>
      <c r="AU305">
        <f t="shared" si="298"/>
        <v>0.0104660532676097</v>
      </c>
      <c r="AV305">
        <f t="shared" si="299"/>
        <v>1.5707963267949</v>
      </c>
      <c r="AW305" t="str">
        <f t="shared" si="275"/>
        <v>1+0,535842730658056i</v>
      </c>
      <c r="AX305">
        <f t="shared" si="300"/>
        <v>1.13451638683585</v>
      </c>
      <c r="AY305">
        <f t="shared" si="301"/>
        <v>0.491908973265042</v>
      </c>
      <c r="AZ305" t="str">
        <f t="shared" si="276"/>
        <v>1+25,6178428891202i</v>
      </c>
      <c r="BA305">
        <f t="shared" si="302"/>
        <v>25.6373531061934</v>
      </c>
      <c r="BB305">
        <f t="shared" si="303"/>
        <v>1.53178084254212</v>
      </c>
      <c r="BC305" s="30" t="str">
        <f t="shared" si="304"/>
        <v>-0,093967507651628+0,055173915615326i</v>
      </c>
      <c r="BD305" s="32">
        <f t="shared" si="305"/>
        <v>-19.2540100015338</v>
      </c>
      <c r="BE305" s="31">
        <f t="shared" si="306"/>
        <v>149.580269343956</v>
      </c>
      <c r="BF305" s="30" t="str">
        <f t="shared" si="307"/>
        <v>0,0567388089670899+0,0746004296105756i</v>
      </c>
      <c r="BG305" s="68">
        <f t="shared" si="308"/>
        <v>-20.5628213505839</v>
      </c>
      <c r="BH305" s="31">
        <f t="shared" si="309"/>
        <v>52.7444896173009</v>
      </c>
      <c r="BI305" s="30" t="str">
        <f t="shared" si="263"/>
        <v>0,00862690185458162+0,438780752847059i</v>
      </c>
      <c r="BJ305" s="68">
        <f t="shared" si="310"/>
        <v>-7.15337014551043</v>
      </c>
      <c r="BK305" s="31">
        <f t="shared" si="264"/>
        <v>88.8736484265404</v>
      </c>
      <c r="BL305" s="32">
        <f t="shared" si="311"/>
        <v>-20.5628213505839</v>
      </c>
      <c r="BM305" s="31">
        <f t="shared" si="312"/>
        <v>52.7444896173009</v>
      </c>
      <c r="BO305">
        <f t="shared" si="313"/>
        <v>0</v>
      </c>
      <c r="BP305">
        <f t="shared" si="314"/>
        <v>0</v>
      </c>
    </row>
    <row r="306" spans="14:68">
      <c r="N306" s="7">
        <v>88</v>
      </c>
      <c r="O306" s="18">
        <f t="shared" si="315"/>
        <v>7585.77575029184</v>
      </c>
      <c r="P306" s="86" t="str">
        <f t="shared" si="265"/>
        <v>163,636363636364</v>
      </c>
      <c r="Q306" s="4" t="str">
        <f t="shared" si="266"/>
        <v>1+291,176590398153i</v>
      </c>
      <c r="R306" s="4">
        <f t="shared" si="277"/>
        <v>291.1783075641</v>
      </c>
      <c r="S306" s="4">
        <f t="shared" si="278"/>
        <v>1.56736199827593</v>
      </c>
      <c r="T306" s="4" t="str">
        <f t="shared" si="267"/>
        <v>1+0,747353248688593i</v>
      </c>
      <c r="U306" s="4">
        <f t="shared" si="279"/>
        <v>1.24841374484799</v>
      </c>
      <c r="V306" s="4">
        <f t="shared" si="280"/>
        <v>0.641805034816976</v>
      </c>
      <c r="W306" t="str">
        <f t="shared" si="268"/>
        <v>1-0,714942521066894i</v>
      </c>
      <c r="X306" s="4">
        <f t="shared" si="281"/>
        <v>1.22928548695146</v>
      </c>
      <c r="Y306" s="4">
        <f t="shared" si="282"/>
        <v>-0.620684263489327</v>
      </c>
      <c r="Z306" t="str">
        <f t="shared" si="269"/>
        <v>0,999530253112378+0,148095236506714i</v>
      </c>
      <c r="AA306" s="4">
        <f t="shared" si="283"/>
        <v>1.01044194586472</v>
      </c>
      <c r="AB306" s="4">
        <f t="shared" si="284"/>
        <v>0.147094685271178</v>
      </c>
      <c r="AC306" s="67" t="str">
        <f t="shared" si="285"/>
        <v>-0,10433011913694-0,847133520029337i</v>
      </c>
      <c r="AD306" s="68">
        <f t="shared" si="286"/>
        <v>-1.37558536271016</v>
      </c>
      <c r="AE306" s="31">
        <f t="shared" si="287"/>
        <v>-97.0210010681103</v>
      </c>
      <c r="AF306" s="32" t="str">
        <f t="shared" si="288"/>
        <v>748,315388573934</v>
      </c>
      <c r="AG306" s="32" t="str">
        <f t="shared" si="270"/>
        <v>1+237,25499958368i</v>
      </c>
      <c r="AH306" s="32">
        <f t="shared" si="289"/>
        <v>237.25710701147</v>
      </c>
      <c r="AI306" s="32">
        <f t="shared" si="290"/>
        <v>1.56658147745517</v>
      </c>
      <c r="AJ306" s="32" t="str">
        <f t="shared" si="271"/>
        <v>1+0,747353248688593i</v>
      </c>
      <c r="AK306" s="32">
        <f t="shared" si="291"/>
        <v>1.24841374484799</v>
      </c>
      <c r="AL306" s="32">
        <f t="shared" si="292"/>
        <v>0.641805034816976</v>
      </c>
      <c r="AM306" s="32" t="str">
        <f t="shared" si="272"/>
        <v>1-0,127384284050892i</v>
      </c>
      <c r="AN306" s="32">
        <f t="shared" si="293"/>
        <v>1.00808072882243</v>
      </c>
      <c r="AO306" s="32">
        <f t="shared" si="294"/>
        <v>-0.1267019042929</v>
      </c>
      <c r="AP306" s="30" t="str">
        <f t="shared" si="295"/>
        <v>1,9699409460076-3,44602164826706i</v>
      </c>
      <c r="AQ306" s="32">
        <f t="shared" si="296"/>
        <v>11.9743859962753</v>
      </c>
      <c r="AR306" s="31">
        <f t="shared" si="297"/>
        <v>-60.2452715285445</v>
      </c>
      <c r="AS306" t="str">
        <f t="shared" si="273"/>
        <v>-0,0000504684572142411</v>
      </c>
      <c r="AT306" t="str">
        <f t="shared" si="274"/>
        <v>0,0107098389655821i</v>
      </c>
      <c r="AU306">
        <f t="shared" si="298"/>
        <v>0.0107098389655821</v>
      </c>
      <c r="AV306">
        <f t="shared" si="299"/>
        <v>1.5707963267949</v>
      </c>
      <c r="AW306" t="str">
        <f t="shared" si="275"/>
        <v>1+0,548324111246972i</v>
      </c>
      <c r="AX306">
        <f t="shared" si="300"/>
        <v>1.14046452420704</v>
      </c>
      <c r="AY306">
        <f t="shared" si="301"/>
        <v>0.501555629629931</v>
      </c>
      <c r="AZ306" t="str">
        <f t="shared" si="276"/>
        <v>1+26,2145591057861i</v>
      </c>
      <c r="BA306">
        <f t="shared" si="302"/>
        <v>26.2336255426266</v>
      </c>
      <c r="BB306">
        <f t="shared" si="303"/>
        <v>1.53266807290819</v>
      </c>
      <c r="BC306" s="30" t="str">
        <f t="shared" si="304"/>
        <v>-0,0929898813122332+0,0557009391295061i</v>
      </c>
      <c r="BD306" s="32">
        <f t="shared" si="305"/>
        <v>-19.2997275446637</v>
      </c>
      <c r="BE306" s="31">
        <f t="shared" si="306"/>
        <v>149.078391203266</v>
      </c>
      <c r="BF306" s="30" t="str">
        <f t="shared" si="307"/>
        <v>0,0568877780295535+0,0729635598677216i</v>
      </c>
      <c r="BG306" s="68">
        <f t="shared" si="308"/>
        <v>-20.6753129073738</v>
      </c>
      <c r="BH306" s="31">
        <f t="shared" si="309"/>
        <v>52.0573901351562</v>
      </c>
      <c r="BI306" s="30" t="str">
        <f t="shared" ref="BI306:BI369" si="316">IMPRODUCT(AP306,BC306)</f>
        <v>0,00876206730772869+0,430172704794031i</v>
      </c>
      <c r="BJ306" s="68">
        <f t="shared" si="310"/>
        <v>-7.3253415483884</v>
      </c>
      <c r="BK306" s="31">
        <f t="shared" ref="BK306:BK369" si="317">(180/PI())*IMARGUMENT(BI306)</f>
        <v>88.8331196747219</v>
      </c>
      <c r="BL306" s="32">
        <f t="shared" si="311"/>
        <v>-20.6753129073738</v>
      </c>
      <c r="BM306" s="31">
        <f t="shared" si="312"/>
        <v>52.0573901351562</v>
      </c>
      <c r="BO306">
        <f t="shared" si="313"/>
        <v>0</v>
      </c>
      <c r="BP306">
        <f t="shared" si="314"/>
        <v>0</v>
      </c>
    </row>
    <row r="307" spans="14:68">
      <c r="N307" s="7">
        <v>89</v>
      </c>
      <c r="O307" s="18">
        <f t="shared" si="315"/>
        <v>7762.47116628693</v>
      </c>
      <c r="P307" s="86" t="str">
        <f t="shared" si="265"/>
        <v>163,636363636364</v>
      </c>
      <c r="Q307" s="4" t="str">
        <f t="shared" si="266"/>
        <v>1+297,958964470634i</v>
      </c>
      <c r="R307" s="4">
        <f t="shared" si="277"/>
        <v>297.960642549335</v>
      </c>
      <c r="S307" s="4">
        <f t="shared" si="278"/>
        <v>1.56744017254331</v>
      </c>
      <c r="T307" s="4" t="str">
        <f t="shared" si="267"/>
        <v>1+0,764761342141294i</v>
      </c>
      <c r="U307" s="4">
        <f t="shared" si="279"/>
        <v>1.25891219329775</v>
      </c>
      <c r="V307" s="4">
        <f t="shared" si="280"/>
        <v>0.652881625532901</v>
      </c>
      <c r="W307" t="str">
        <f t="shared" si="268"/>
        <v>1-0,731595671691289i</v>
      </c>
      <c r="X307" s="4">
        <f t="shared" si="281"/>
        <v>1.23904488491637</v>
      </c>
      <c r="Y307" s="4">
        <f t="shared" si="282"/>
        <v>-0.631617916062114</v>
      </c>
      <c r="Z307" t="str">
        <f t="shared" si="269"/>
        <v>0,999508114623613+0,151544817707481i</v>
      </c>
      <c r="AA307" s="4">
        <f t="shared" si="283"/>
        <v>1.01093140369287</v>
      </c>
      <c r="AB307" s="4">
        <f t="shared" si="284"/>
        <v>0.150473332547397</v>
      </c>
      <c r="AC307" s="67" t="str">
        <f t="shared" si="285"/>
        <v>-0,106365263802458-0,840684761218857i</v>
      </c>
      <c r="AD307" s="68">
        <f t="shared" si="286"/>
        <v>-1.43836581639769</v>
      </c>
      <c r="AE307" s="31">
        <f t="shared" si="287"/>
        <v>-97.2108726007551</v>
      </c>
      <c r="AF307" s="32" t="str">
        <f t="shared" si="288"/>
        <v>748,315388573934</v>
      </c>
      <c r="AG307" s="32" t="str">
        <f t="shared" si="270"/>
        <v>1+242,781378457554i</v>
      </c>
      <c r="AH307" s="32">
        <f t="shared" si="289"/>
        <v>242.783437914842</v>
      </c>
      <c r="AI307" s="32">
        <f t="shared" si="290"/>
        <v>1.56667741804164</v>
      </c>
      <c r="AJ307" s="32" t="str">
        <f t="shared" si="271"/>
        <v>1+0,764761342141294i</v>
      </c>
      <c r="AK307" s="32">
        <f t="shared" si="291"/>
        <v>1.25891219329775</v>
      </c>
      <c r="AL307" s="32">
        <f t="shared" si="292"/>
        <v>0.652881625532901</v>
      </c>
      <c r="AM307" s="32" t="str">
        <f t="shared" si="272"/>
        <v>1-0,130351445195979i</v>
      </c>
      <c r="AN307" s="32">
        <f t="shared" si="293"/>
        <v>1.00845996413575</v>
      </c>
      <c r="AO307" s="32">
        <f t="shared" si="294"/>
        <v>-0.129620592987826</v>
      </c>
      <c r="AP307" s="30" t="str">
        <f t="shared" si="295"/>
        <v>1,9693442050671-3,38141221580445i</v>
      </c>
      <c r="AQ307" s="32">
        <f t="shared" si="296"/>
        <v>11.8503944142295</v>
      </c>
      <c r="AR307" s="31">
        <f t="shared" si="297"/>
        <v>-59.7833551637483</v>
      </c>
      <c r="AS307" t="str">
        <f t="shared" si="273"/>
        <v>-0,0000504684572142411</v>
      </c>
      <c r="AT307" t="str">
        <f t="shared" si="274"/>
        <v>0,0109593031619355i</v>
      </c>
      <c r="AU307">
        <f t="shared" si="298"/>
        <v>0.0109593031619355</v>
      </c>
      <c r="AV307">
        <f t="shared" si="299"/>
        <v>1.5707963267949</v>
      </c>
      <c r="AW307" t="str">
        <f t="shared" si="275"/>
        <v>1+0,5610962205376i</v>
      </c>
      <c r="AX307">
        <f t="shared" si="300"/>
        <v>1.14665991850312</v>
      </c>
      <c r="AY307">
        <f t="shared" si="301"/>
        <v>0.511322448155377</v>
      </c>
      <c r="AZ307" t="str">
        <f t="shared" si="276"/>
        <v>1+26,8251746286805i</v>
      </c>
      <c r="BA307">
        <f t="shared" si="302"/>
        <v>26.8438073651858</v>
      </c>
      <c r="BB307">
        <f t="shared" si="303"/>
        <v>1.53353516548108</v>
      </c>
      <c r="BC307" s="30" t="str">
        <f t="shared" si="304"/>
        <v>-0,0919877487445633+0,0562190571899682i</v>
      </c>
      <c r="BD307" s="32">
        <f t="shared" si="305"/>
        <v>-19.3470686066539</v>
      </c>
      <c r="BE307" s="31">
        <f t="shared" si="306"/>
        <v>148.568474467363</v>
      </c>
      <c r="BF307" s="30" t="str">
        <f t="shared" si="307"/>
        <v>0,0570468058315074+0,071352943739647i</v>
      </c>
      <c r="BG307" s="68">
        <f t="shared" si="308"/>
        <v>-20.7854344230516</v>
      </c>
      <c r="BH307" s="31">
        <f t="shared" si="309"/>
        <v>51.3576018666075</v>
      </c>
      <c r="BI307" s="30" t="str">
        <f t="shared" si="316"/>
        <v>0,00894426681589333+0,421763171800617i</v>
      </c>
      <c r="BJ307" s="68">
        <f t="shared" si="310"/>
        <v>-7.49667419242433</v>
      </c>
      <c r="BK307" s="31">
        <f t="shared" si="317"/>
        <v>88.7851193036143</v>
      </c>
      <c r="BL307" s="32">
        <f t="shared" si="311"/>
        <v>-20.7854344230516</v>
      </c>
      <c r="BM307" s="31">
        <f t="shared" si="312"/>
        <v>51.3576018666075</v>
      </c>
      <c r="BO307">
        <f t="shared" si="313"/>
        <v>0</v>
      </c>
      <c r="BP307">
        <f t="shared" si="314"/>
        <v>0</v>
      </c>
    </row>
    <row r="308" spans="14:68">
      <c r="N308" s="7">
        <v>90</v>
      </c>
      <c r="O308" s="18">
        <f t="shared" si="315"/>
        <v>7943.28234724282</v>
      </c>
      <c r="P308" s="86" t="str">
        <f t="shared" si="265"/>
        <v>163,636363636364</v>
      </c>
      <c r="Q308" s="4" t="str">
        <f t="shared" si="266"/>
        <v>1+304,89932033003i</v>
      </c>
      <c r="R308" s="4">
        <f t="shared" si="277"/>
        <v>304.900960211204</v>
      </c>
      <c r="S308" s="4">
        <f t="shared" si="278"/>
        <v>1.56751656738675</v>
      </c>
      <c r="T308" s="4" t="str">
        <f t="shared" si="267"/>
        <v>1+0,78257492218041i</v>
      </c>
      <c r="U308" s="4">
        <f t="shared" si="279"/>
        <v>1.26981239119237</v>
      </c>
      <c r="V308" s="4">
        <f t="shared" si="280"/>
        <v>0.664025217387735</v>
      </c>
      <c r="W308" t="str">
        <f t="shared" si="268"/>
        <v>1-0,748636724024627i</v>
      </c>
      <c r="X308" s="4">
        <f t="shared" si="281"/>
        <v>1.2491825105077</v>
      </c>
      <c r="Y308" s="4">
        <f t="shared" si="282"/>
        <v>-0.642628041079257</v>
      </c>
      <c r="Z308" t="str">
        <f t="shared" si="269"/>
        <v>0,999484932780016+0,15507474997653i</v>
      </c>
      <c r="AA308" s="4">
        <f t="shared" si="283"/>
        <v>1.01144367561153</v>
      </c>
      <c r="AB308" s="4">
        <f t="shared" si="284"/>
        <v>0.153927332991391</v>
      </c>
      <c r="AC308" s="67" t="str">
        <f t="shared" si="285"/>
        <v>-0,108484276464039-0,834655089699419i</v>
      </c>
      <c r="AD308" s="68">
        <f t="shared" si="286"/>
        <v>-1.49710438831997</v>
      </c>
      <c r="AE308" s="31">
        <f t="shared" si="287"/>
        <v>-97.4055022642333</v>
      </c>
      <c r="AF308" s="32" t="str">
        <f t="shared" si="288"/>
        <v>748,315388573934</v>
      </c>
      <c r="AG308" s="32" t="str">
        <f t="shared" si="270"/>
        <v>1+248,436483231876i</v>
      </c>
      <c r="AH308" s="32">
        <f t="shared" si="289"/>
        <v>248.438495810577</v>
      </c>
      <c r="AI308" s="32">
        <f t="shared" si="290"/>
        <v>1.566771174827</v>
      </c>
      <c r="AJ308" s="32" t="str">
        <f t="shared" si="271"/>
        <v>1+0,78257492218041i</v>
      </c>
      <c r="AK308" s="32">
        <f t="shared" si="291"/>
        <v>1.26981239119237</v>
      </c>
      <c r="AL308" s="32">
        <f t="shared" si="292"/>
        <v>0.664025217387735</v>
      </c>
      <c r="AM308" s="32" t="str">
        <f t="shared" si="272"/>
        <v>1-0,133387720402714i</v>
      </c>
      <c r="AN308" s="32">
        <f t="shared" si="293"/>
        <v>1.0088569194659</v>
      </c>
      <c r="AO308" s="32">
        <f t="shared" si="294"/>
        <v>-0.132604968992792</v>
      </c>
      <c r="AP308" s="30" t="str">
        <f t="shared" si="295"/>
        <v>1,96877432100237-3,31859543155127i</v>
      </c>
      <c r="AQ308" s="32">
        <f t="shared" si="296"/>
        <v>11.7286984586945</v>
      </c>
      <c r="AR308" s="31">
        <f t="shared" si="297"/>
        <v>-59.3212383995166</v>
      </c>
      <c r="AS308" t="str">
        <f t="shared" si="273"/>
        <v>-0,0000504684572142411</v>
      </c>
      <c r="AT308" t="str">
        <f t="shared" si="274"/>
        <v>0,0112145781258889i</v>
      </c>
      <c r="AU308">
        <f t="shared" si="298"/>
        <v>0.0112145781258889</v>
      </c>
      <c r="AV308">
        <f t="shared" si="299"/>
        <v>1.5707963267949</v>
      </c>
      <c r="AW308" t="str">
        <f t="shared" si="275"/>
        <v>1+0,574165830471343i</v>
      </c>
      <c r="AX308">
        <f t="shared" si="300"/>
        <v>1.15311161683544</v>
      </c>
      <c r="AY308">
        <f t="shared" si="301"/>
        <v>0.521207153299462</v>
      </c>
      <c r="AZ308" t="str">
        <f t="shared" si="276"/>
        <v>1+27,4500132142363i</v>
      </c>
      <c r="BA308">
        <f t="shared" si="302"/>
        <v>27.4682221023085</v>
      </c>
      <c r="BB308">
        <f t="shared" si="303"/>
        <v>1.53438257478641</v>
      </c>
      <c r="BC308" s="30" t="str">
        <f t="shared" si="304"/>
        <v>-0,0909612792613782+0,0567271130849531i</v>
      </c>
      <c r="BD308" s="32">
        <f t="shared" si="305"/>
        <v>-19.3960741792164</v>
      </c>
      <c r="BE308" s="31">
        <f t="shared" si="306"/>
        <v>148.050675557591</v>
      </c>
      <c r="BF308" s="30" t="str">
        <f t="shared" si="307"/>
        <v>0,0572154422272246+0,0697672948821647i</v>
      </c>
      <c r="BG308" s="68">
        <f t="shared" si="308"/>
        <v>-20.8931785675364</v>
      </c>
      <c r="BH308" s="31">
        <f t="shared" si="309"/>
        <v>50.6451732933573</v>
      </c>
      <c r="BI308" s="30" t="str">
        <f t="shared" si="316"/>
        <v>0,00917210751349079+0,413546569351122i</v>
      </c>
      <c r="BJ308" s="68">
        <f t="shared" si="310"/>
        <v>-7.66737572052188</v>
      </c>
      <c r="BK308" s="31">
        <f t="shared" si="317"/>
        <v>88.7294371580739</v>
      </c>
      <c r="BL308" s="32">
        <f t="shared" si="311"/>
        <v>-20.8931785675364</v>
      </c>
      <c r="BM308" s="31">
        <f t="shared" si="312"/>
        <v>50.6451732933573</v>
      </c>
      <c r="BO308">
        <f t="shared" si="313"/>
        <v>0</v>
      </c>
      <c r="BP308">
        <f t="shared" si="314"/>
        <v>0</v>
      </c>
    </row>
    <row r="309" spans="14:68">
      <c r="N309" s="7">
        <v>91</v>
      </c>
      <c r="O309" s="18">
        <f t="shared" si="315"/>
        <v>8128.30516164101</v>
      </c>
      <c r="P309" s="86" t="str">
        <f t="shared" si="265"/>
        <v>163,636363636364</v>
      </c>
      <c r="Q309" s="4" t="str">
        <f t="shared" si="266"/>
        <v>1+312,001337844885i</v>
      </c>
      <c r="R309" s="4">
        <f t="shared" si="277"/>
        <v>312.002940398</v>
      </c>
      <c r="S309" s="4">
        <f t="shared" si="278"/>
        <v>1.56759122330824</v>
      </c>
      <c r="T309" s="4" t="str">
        <f t="shared" si="267"/>
        <v>1+0,800803433801871i</v>
      </c>
      <c r="U309" s="4">
        <f t="shared" si="279"/>
        <v>1.28112690221885</v>
      </c>
      <c r="V309" s="4">
        <f t="shared" si="280"/>
        <v>0.675230648918746</v>
      </c>
      <c r="W309" t="str">
        <f t="shared" si="268"/>
        <v>1-0,766074713458423i</v>
      </c>
      <c r="X309" s="4">
        <f t="shared" si="281"/>
        <v>1.25971046935413</v>
      </c>
      <c r="Y309" s="4">
        <f t="shared" si="282"/>
        <v>-0.653709799163704</v>
      </c>
      <c r="Z309" t="str">
        <f t="shared" si="269"/>
        <v>0,99946065840979+0,158686904930673i</v>
      </c>
      <c r="AA309" s="4">
        <f t="shared" si="283"/>
        <v>1.0119798127954</v>
      </c>
      <c r="AB309" s="4">
        <f t="shared" si="284"/>
        <v>0.157458209783864</v>
      </c>
      <c r="AC309" s="67" t="str">
        <f t="shared" si="285"/>
        <v>-0,110691093795319-0,829039492362483i</v>
      </c>
      <c r="AD309" s="68">
        <f t="shared" si="286"/>
        <v>-1.55175652884612</v>
      </c>
      <c r="AE309" s="31">
        <f t="shared" si="287"/>
        <v>-97.6049981051138</v>
      </c>
      <c r="AF309" s="32" t="str">
        <f t="shared" si="288"/>
        <v>748,315388573934</v>
      </c>
      <c r="AG309" s="32" t="str">
        <f t="shared" si="270"/>
        <v>1+254,223312318054i</v>
      </c>
      <c r="AH309" s="32">
        <f t="shared" si="289"/>
        <v>254.225279085229</v>
      </c>
      <c r="AI309" s="32">
        <f t="shared" si="290"/>
        <v>1.56686279751575</v>
      </c>
      <c r="AJ309" s="32" t="str">
        <f t="shared" si="271"/>
        <v>1+0,800803433801871i</v>
      </c>
      <c r="AK309" s="32">
        <f t="shared" si="291"/>
        <v>1.28112690221885</v>
      </c>
      <c r="AL309" s="32">
        <f t="shared" si="292"/>
        <v>0.675230648918746</v>
      </c>
      <c r="AM309" s="32" t="str">
        <f t="shared" si="272"/>
        <v>1-0,136494719544402i</v>
      </c>
      <c r="AN309" s="32">
        <f t="shared" si="293"/>
        <v>1.00927241538819</v>
      </c>
      <c r="AO309" s="32">
        <f t="shared" si="294"/>
        <v>-0.135656401908012</v>
      </c>
      <c r="AP309" s="30" t="str">
        <f t="shared" si="295"/>
        <v>1,96823008513323-3,25753800398772i</v>
      </c>
      <c r="AQ309" s="32">
        <f t="shared" si="296"/>
        <v>11.6093299623196</v>
      </c>
      <c r="AR309" s="31">
        <f t="shared" si="297"/>
        <v>-58.8592982860496</v>
      </c>
      <c r="AS309" t="str">
        <f t="shared" si="273"/>
        <v>-0,0000504684572142411</v>
      </c>
      <c r="AT309" t="str">
        <f t="shared" si="274"/>
        <v>0,0114757992076072i</v>
      </c>
      <c r="AU309">
        <f t="shared" si="298"/>
        <v>0.0114757992076072</v>
      </c>
      <c r="AV309">
        <f t="shared" si="299"/>
        <v>1.5707963267949</v>
      </c>
      <c r="AW309" t="str">
        <f t="shared" si="275"/>
        <v>1+0,587539870728385i</v>
      </c>
      <c r="AX309">
        <f t="shared" si="300"/>
        <v>1.15982890966536</v>
      </c>
      <c r="AY309">
        <f t="shared" si="301"/>
        <v>0.531207258930514</v>
      </c>
      <c r="AZ309" t="str">
        <f t="shared" si="276"/>
        <v>1+28,0894061601421i</v>
      </c>
      <c r="BA309">
        <f t="shared" si="302"/>
        <v>28.107200828781</v>
      </c>
      <c r="BB309">
        <f t="shared" si="303"/>
        <v>1.53521074526081</v>
      </c>
      <c r="BC309" s="30" t="str">
        <f t="shared" si="304"/>
        <v>-0,0899107033297565+0,0572239393466242i</v>
      </c>
      <c r="BD309" s="32">
        <f t="shared" si="305"/>
        <v>-19.4467848969752</v>
      </c>
      <c r="BE309" s="31">
        <f t="shared" si="306"/>
        <v>147.525162383147</v>
      </c>
      <c r="BF309" s="30" t="str">
        <f t="shared" si="307"/>
        <v>0,057393219722384+0,0682053434089003i</v>
      </c>
      <c r="BG309" s="68">
        <f t="shared" si="308"/>
        <v>-20.9985414258213</v>
      </c>
      <c r="BH309" s="31">
        <f t="shared" si="309"/>
        <v>49.9201642780329</v>
      </c>
      <c r="BI309" s="30" t="str">
        <f t="shared" si="316"/>
        <v>0,00944420589040135+0,405517412073812i</v>
      </c>
      <c r="BJ309" s="68">
        <f t="shared" si="310"/>
        <v>-7.83745493465559</v>
      </c>
      <c r="BK309" s="31">
        <f t="shared" si="317"/>
        <v>88.6658640970971</v>
      </c>
      <c r="BL309" s="32">
        <f t="shared" si="311"/>
        <v>-20.9985414258213</v>
      </c>
      <c r="BM309" s="31">
        <f t="shared" si="312"/>
        <v>49.9201642780329</v>
      </c>
      <c r="BO309">
        <f t="shared" si="313"/>
        <v>0</v>
      </c>
      <c r="BP309">
        <f t="shared" si="314"/>
        <v>0</v>
      </c>
    </row>
    <row r="310" spans="14:68">
      <c r="N310" s="7">
        <v>92</v>
      </c>
      <c r="O310" s="18">
        <f t="shared" si="315"/>
        <v>8317.63771102671</v>
      </c>
      <c r="P310" s="86" t="str">
        <f t="shared" si="265"/>
        <v>163,636363636364</v>
      </c>
      <c r="Q310" s="4" t="str">
        <f t="shared" si="266"/>
        <v>1+319,26878259889i</v>
      </c>
      <c r="R310" s="4">
        <f t="shared" si="277"/>
        <v>319.270348673624</v>
      </c>
      <c r="S310" s="4">
        <f t="shared" si="278"/>
        <v>1.56766417988801</v>
      </c>
      <c r="T310" s="4" t="str">
        <f t="shared" si="267"/>
        <v>1+0,819456542003818i</v>
      </c>
      <c r="U310" s="4">
        <f t="shared" si="279"/>
        <v>1.29286852550167</v>
      </c>
      <c r="V310" s="4">
        <f t="shared" si="280"/>
        <v>0.686492606211644</v>
      </c>
      <c r="W310" t="str">
        <f t="shared" si="268"/>
        <v>1-0,783918885845489i</v>
      </c>
      <c r="X310" s="4">
        <f t="shared" si="281"/>
        <v>1.2706411057357</v>
      </c>
      <c r="Y310" s="4">
        <f t="shared" si="282"/>
        <v>-0.664858179247558</v>
      </c>
      <c r="Z310" t="str">
        <f t="shared" si="269"/>
        <v>0,99943524002374+0,16238319778228i</v>
      </c>
      <c r="AA310" s="4">
        <f t="shared" si="283"/>
        <v>1.0125409137034</v>
      </c>
      <c r="AB310" s="4">
        <f t="shared" si="284"/>
        <v>0.161067505851319</v>
      </c>
      <c r="AC310" s="67" t="str">
        <f t="shared" si="285"/>
        <v>-0,112989787412046-0,823833055684825i</v>
      </c>
      <c r="AD310" s="68">
        <f t="shared" si="286"/>
        <v>-1.60228167455054</v>
      </c>
      <c r="AE310" s="31">
        <f t="shared" si="287"/>
        <v>-97.8094681461735</v>
      </c>
      <c r="AF310" s="32" t="str">
        <f t="shared" si="288"/>
        <v>748,315388573934</v>
      </c>
      <c r="AG310" s="32" t="str">
        <f t="shared" si="270"/>
        <v>1+260,144933969466i</v>
      </c>
      <c r="AH310" s="32">
        <f t="shared" si="289"/>
        <v>260.14685596789</v>
      </c>
      <c r="AI310" s="32">
        <f t="shared" si="290"/>
        <v>1.5669523346813</v>
      </c>
      <c r="AJ310" s="32" t="str">
        <f t="shared" si="271"/>
        <v>1+0,819456542003818i</v>
      </c>
      <c r="AK310" s="32">
        <f t="shared" si="291"/>
        <v>1.29286852550167</v>
      </c>
      <c r="AL310" s="32">
        <f t="shared" si="292"/>
        <v>0.686492606211644</v>
      </c>
      <c r="AM310" s="32" t="str">
        <f t="shared" si="272"/>
        <v>1-0,139674089993113i</v>
      </c>
      <c r="AN310" s="32">
        <f t="shared" si="293"/>
        <v>1.00970730977616</v>
      </c>
      <c r="AO310" s="32">
        <f t="shared" si="294"/>
        <v>-0.13877628222255</v>
      </c>
      <c r="AP310" s="30" t="str">
        <f t="shared" si="295"/>
        <v>1,96771034317223-3,19820757344243i</v>
      </c>
      <c r="AQ310" s="32">
        <f t="shared" si="296"/>
        <v>11.492319157591</v>
      </c>
      <c r="AR310" s="31">
        <f t="shared" si="297"/>
        <v>-58.3979217404144</v>
      </c>
      <c r="AS310" t="str">
        <f t="shared" si="273"/>
        <v>-0,0000504684572142411</v>
      </c>
      <c r="AT310" t="str">
        <f t="shared" si="274"/>
        <v>0,0117431049099654i</v>
      </c>
      <c r="AU310">
        <f t="shared" si="298"/>
        <v>0.0117431049099654</v>
      </c>
      <c r="AV310">
        <f t="shared" si="299"/>
        <v>1.5707963267949</v>
      </c>
      <c r="AW310" t="str">
        <f t="shared" si="275"/>
        <v>1+0,601225432401895i</v>
      </c>
      <c r="AX310">
        <f t="shared" si="300"/>
        <v>1.1668213318957</v>
      </c>
      <c r="AY310">
        <f t="shared" si="301"/>
        <v>0.541320066388872</v>
      </c>
      <c r="AZ310" t="str">
        <f t="shared" si="276"/>
        <v>1+28,7436924810012i</v>
      </c>
      <c r="BA310">
        <f t="shared" si="302"/>
        <v>28.7610823412883</v>
      </c>
      <c r="BB310">
        <f t="shared" si="303"/>
        <v>1.53602011146452</v>
      </c>
      <c r="BC310" s="30" t="str">
        <f t="shared" si="304"/>
        <v>-0,0888363146564244+0,0577083615059462i</v>
      </c>
      <c r="BD310" s="32">
        <f t="shared" si="305"/>
        <v>-19.4992409357799</v>
      </c>
      <c r="BE310" s="31">
        <f t="shared" si="306"/>
        <v>146.992114464307</v>
      </c>
      <c r="BF310" s="30" t="str">
        <f t="shared" si="307"/>
        <v>0,0575796521055072+0,0666658370607264i</v>
      </c>
      <c r="BG310" s="68">
        <f t="shared" si="308"/>
        <v>-21.1015226103304</v>
      </c>
      <c r="BH310" s="31">
        <f t="shared" si="309"/>
        <v>49.1826463181337</v>
      </c>
      <c r="BI310" s="30" t="str">
        <f t="shared" si="316"/>
        <v>0,00975918362052167+0,397670314153664i</v>
      </c>
      <c r="BJ310" s="68">
        <f t="shared" si="310"/>
        <v>-8.00692177818889</v>
      </c>
      <c r="BK310" s="31">
        <f t="shared" si="317"/>
        <v>88.5941927238928</v>
      </c>
      <c r="BL310" s="32">
        <f t="shared" si="311"/>
        <v>-21.1015226103304</v>
      </c>
      <c r="BM310" s="31">
        <f t="shared" si="312"/>
        <v>49.1826463181337</v>
      </c>
      <c r="BO310">
        <f t="shared" si="313"/>
        <v>0</v>
      </c>
      <c r="BP310">
        <f t="shared" si="314"/>
        <v>0</v>
      </c>
    </row>
    <row r="311" spans="14:68">
      <c r="N311" s="7">
        <v>93</v>
      </c>
      <c r="O311" s="18">
        <f t="shared" si="315"/>
        <v>8511.38038202378</v>
      </c>
      <c r="P311" s="86" t="str">
        <f t="shared" si="265"/>
        <v>163,636363636364</v>
      </c>
      <c r="Q311" s="4" t="str">
        <f t="shared" si="266"/>
        <v>1+326,705507887452i</v>
      </c>
      <c r="R311" s="4">
        <f t="shared" si="277"/>
        <v>326.707038314141</v>
      </c>
      <c r="S311" s="4">
        <f t="shared" si="278"/>
        <v>1.56773547580549</v>
      </c>
      <c r="T311" s="4" t="str">
        <f t="shared" si="267"/>
        <v>1+0,838544136911127i</v>
      </c>
      <c r="U311" s="4">
        <f t="shared" si="279"/>
        <v>1.30505029387684</v>
      </c>
      <c r="V311" s="4">
        <f t="shared" si="280"/>
        <v>0.697805634204507</v>
      </c>
      <c r="W311" t="str">
        <f t="shared" si="268"/>
        <v>1-0,802178702402227i</v>
      </c>
      <c r="X311" s="4">
        <f t="shared" si="281"/>
        <v>1.28198700094335</v>
      </c>
      <c r="Y311" s="4">
        <f t="shared" si="282"/>
        <v>-0.676068008136905</v>
      </c>
      <c r="Z311" t="str">
        <f t="shared" si="269"/>
        <v>0,999408623706061+0,166165588354747i</v>
      </c>
      <c r="AA311" s="4">
        <f t="shared" si="283"/>
        <v>1.01312812609824</v>
      </c>
      <c r="AB311" s="4">
        <f t="shared" si="284"/>
        <v>0.164756783301398</v>
      </c>
      <c r="AC311" s="67" t="str">
        <f t="shared" si="285"/>
        <v>-0,115384567918518-0,81903095573242i</v>
      </c>
      <c r="AD311" s="68">
        <f t="shared" si="286"/>
        <v>-1.64864345254473</v>
      </c>
      <c r="AE311" s="31">
        <f t="shared" si="287"/>
        <v>-98.019020255603</v>
      </c>
      <c r="AF311" s="32" t="str">
        <f t="shared" si="288"/>
        <v>748,315388573934</v>
      </c>
      <c r="AG311" s="32" t="str">
        <f t="shared" si="270"/>
        <v>1+266,204487908294i</v>
      </c>
      <c r="AH311" s="32">
        <f t="shared" si="289"/>
        <v>266.206366157004</v>
      </c>
      <c r="AI311" s="32">
        <f t="shared" si="290"/>
        <v>1.56703983379169</v>
      </c>
      <c r="AJ311" s="32" t="str">
        <f t="shared" si="271"/>
        <v>1+0,838544136911127i</v>
      </c>
      <c r="AK311" s="32">
        <f t="shared" si="291"/>
        <v>1.30505029387684</v>
      </c>
      <c r="AL311" s="32">
        <f t="shared" si="292"/>
        <v>0.697805634204507</v>
      </c>
      <c r="AM311" s="32" t="str">
        <f t="shared" si="272"/>
        <v>1-0,142927517493144i</v>
      </c>
      <c r="AN311" s="32">
        <f t="shared" si="293"/>
        <v>1.01016249943103</v>
      </c>
      <c r="AO311" s="32">
        <f t="shared" si="294"/>
        <v>-0.141966021067847</v>
      </c>
      <c r="AP311" s="30" t="str">
        <f t="shared" si="295"/>
        <v>1,96721399277709-3,14057269500065i</v>
      </c>
      <c r="AQ311" s="32">
        <f t="shared" si="296"/>
        <v>11.3776945989628</v>
      </c>
      <c r="AR311" s="31">
        <f t="shared" si="297"/>
        <v>-57.9375048862309</v>
      </c>
      <c r="AS311" t="str">
        <f t="shared" si="273"/>
        <v>-0,0000504684572142411</v>
      </c>
      <c r="AT311" t="str">
        <f t="shared" si="274"/>
        <v>0,0120166369619853i</v>
      </c>
      <c r="AU311">
        <f t="shared" si="298"/>
        <v>0.0120166369619853</v>
      </c>
      <c r="AV311">
        <f t="shared" si="299"/>
        <v>1.5707963267949</v>
      </c>
      <c r="AW311" t="str">
        <f t="shared" si="275"/>
        <v>1+0,615229771757827i</v>
      </c>
      <c r="AX311">
        <f t="shared" si="300"/>
        <v>1.17409866368086</v>
      </c>
      <c r="AY311">
        <f t="shared" si="301"/>
        <v>0.551542663294312</v>
      </c>
      <c r="AZ311" t="str">
        <f t="shared" si="276"/>
        <v>1+29,4132190880816i</v>
      </c>
      <c r="BA311">
        <f t="shared" si="302"/>
        <v>29.430213338056</v>
      </c>
      <c r="BB311">
        <f t="shared" si="303"/>
        <v>1.53681109829022</v>
      </c>
      <c r="BC311" s="30" t="str">
        <f t="shared" si="304"/>
        <v>-0,0877384720206162+0,0581792021103868i</v>
      </c>
      <c r="BD311" s="32">
        <f t="shared" si="305"/>
        <v>-19.553481907724</v>
      </c>
      <c r="BE311" s="31">
        <f t="shared" si="306"/>
        <v>146.451723012725</v>
      </c>
      <c r="BF311" s="30" t="str">
        <f t="shared" si="307"/>
        <v>0,0577742331921495+0,0651475424961964i</v>
      </c>
      <c r="BG311" s="68">
        <f t="shared" si="308"/>
        <v>-21.2021253602687</v>
      </c>
      <c r="BH311" s="31">
        <f t="shared" si="309"/>
        <v>48.4327027571225</v>
      </c>
      <c r="BI311" s="30" t="str">
        <f t="shared" si="316"/>
        <v>0,0101156637009676+0,389999990009185i</v>
      </c>
      <c r="BJ311" s="68">
        <f t="shared" si="310"/>
        <v>-8.17578730876115</v>
      </c>
      <c r="BK311" s="31">
        <f t="shared" si="317"/>
        <v>88.5142181264945</v>
      </c>
      <c r="BL311" s="32">
        <f t="shared" si="311"/>
        <v>-21.2021253602687</v>
      </c>
      <c r="BM311" s="31">
        <f t="shared" si="312"/>
        <v>48.4327027571225</v>
      </c>
      <c r="BO311">
        <f t="shared" si="313"/>
        <v>0</v>
      </c>
      <c r="BP311">
        <f t="shared" si="314"/>
        <v>0</v>
      </c>
    </row>
    <row r="312" spans="14:68">
      <c r="N312" s="7">
        <v>94</v>
      </c>
      <c r="O312" s="18">
        <f t="shared" si="315"/>
        <v>8709.63589956082</v>
      </c>
      <c r="P312" s="86" t="str">
        <f t="shared" si="265"/>
        <v>163,636363636364</v>
      </c>
      <c r="Q312" s="4" t="str">
        <f t="shared" si="266"/>
        <v>1+334,315456760755i</v>
      </c>
      <c r="R312" s="4">
        <f t="shared" si="277"/>
        <v>334.316952350838</v>
      </c>
      <c r="S312" s="4">
        <f t="shared" si="278"/>
        <v>1.56780514885982</v>
      </c>
      <c r="T312" s="4" t="str">
        <f t="shared" si="267"/>
        <v>1+0,858076339019269i</v>
      </c>
      <c r="U312" s="4">
        <f t="shared" si="279"/>
        <v>1.31768547217639</v>
      </c>
      <c r="V312" s="4">
        <f t="shared" si="280"/>
        <v>0.709164148826621</v>
      </c>
      <c r="W312" t="str">
        <f t="shared" si="268"/>
        <v>1-0,820863844725067i</v>
      </c>
      <c r="X312" s="4">
        <f t="shared" si="281"/>
        <v>1.29376097157737</v>
      </c>
      <c r="Y312" s="4">
        <f t="shared" si="282"/>
        <v>-0.687333960998695</v>
      </c>
      <c r="Z312" t="str">
        <f t="shared" si="269"/>
        <v>0,999380752999976+0,170036082121621i</v>
      </c>
      <c r="AA312" s="4">
        <f t="shared" si="283"/>
        <v>1.01374264914231</v>
      </c>
      <c r="AB312" s="4">
        <f t="shared" si="284"/>
        <v>0.168527622783363</v>
      </c>
      <c r="AC312" s="67" t="str">
        <f t="shared" si="285"/>
        <v>-0,117879788856361-0,814628447814006i</v>
      </c>
      <c r="AD312" s="68">
        <f t="shared" si="286"/>
        <v>-1.69080987360205</v>
      </c>
      <c r="AE312" s="31">
        <f t="shared" si="287"/>
        <v>-98.2337620168892</v>
      </c>
      <c r="AF312" s="32" t="str">
        <f t="shared" si="288"/>
        <v>748,315388573934</v>
      </c>
      <c r="AG312" s="32" t="str">
        <f t="shared" si="270"/>
        <v>1+272,405186990244i</v>
      </c>
      <c r="AH312" s="32">
        <f t="shared" si="289"/>
        <v>272.407022485085</v>
      </c>
      <c r="AI312" s="32">
        <f t="shared" si="290"/>
        <v>1.56712534123475</v>
      </c>
      <c r="AJ312" s="32" t="str">
        <f t="shared" si="271"/>
        <v>1+0,858076339019269i</v>
      </c>
      <c r="AK312" s="32">
        <f t="shared" si="291"/>
        <v>1.31768547217639</v>
      </c>
      <c r="AL312" s="32">
        <f t="shared" si="292"/>
        <v>0.709164148826621</v>
      </c>
      <c r="AM312" s="32" t="str">
        <f t="shared" si="272"/>
        <v>1-0,146256727054819i</v>
      </c>
      <c r="AN312" s="32">
        <f t="shared" si="293"/>
        <v>1.01063892177611</v>
      </c>
      <c r="AO312" s="32">
        <f t="shared" si="294"/>
        <v>-0.145227049919423</v>
      </c>
      <c r="AP312" s="30" t="str">
        <f t="shared" si="295"/>
        <v>1,96673998121337-3,08460282189318i</v>
      </c>
      <c r="AQ312" s="32">
        <f t="shared" si="296"/>
        <v>11.2654830918477</v>
      </c>
      <c r="AR312" s="31">
        <f t="shared" si="297"/>
        <v>-57.478452342516</v>
      </c>
      <c r="AS312" t="str">
        <f t="shared" si="273"/>
        <v>-0,0000504684572142411</v>
      </c>
      <c r="AT312" t="str">
        <f t="shared" si="274"/>
        <v>0,0122965403939815i</v>
      </c>
      <c r="AU312">
        <f t="shared" si="298"/>
        <v>0.0122965403939815</v>
      </c>
      <c r="AV312">
        <f t="shared" si="299"/>
        <v>1.5707963267949</v>
      </c>
      <c r="AW312" t="str">
        <f t="shared" si="275"/>
        <v>1+0,629560314082272i</v>
      </c>
      <c r="AX312">
        <f t="shared" si="300"/>
        <v>1.1816709309564</v>
      </c>
      <c r="AY312">
        <f t="shared" si="301"/>
        <v>0.561871923147491</v>
      </c>
      <c r="AZ312" t="str">
        <f t="shared" si="276"/>
        <v>1+30,0983409732524i</v>
      </c>
      <c r="BA312">
        <f t="shared" si="302"/>
        <v>30.1149486026818</v>
      </c>
      <c r="BB312">
        <f t="shared" si="303"/>
        <v>1.53758412116825</v>
      </c>
      <c r="BC312" s="30" t="str">
        <f t="shared" si="304"/>
        <v>-0,0866176008227418+0,0586352849879222i</v>
      </c>
      <c r="BD312" s="32">
        <f t="shared" si="305"/>
        <v>-19.6095467533112</v>
      </c>
      <c r="BE312" s="31">
        <f t="shared" si="306"/>
        <v>145.904190966022</v>
      </c>
      <c r="BF312" s="30" t="str">
        <f t="shared" si="307"/>
        <v>0,0579764356930723+0,0636492466976945i</v>
      </c>
      <c r="BG312" s="68">
        <f t="shared" si="308"/>
        <v>-21.3003566269132</v>
      </c>
      <c r="BH312" s="31">
        <f t="shared" si="309"/>
        <v>47.6704289491329</v>
      </c>
      <c r="BI312" s="30" t="str">
        <f t="shared" si="316"/>
        <v>0,0105122669213893+0,382501255219033i</v>
      </c>
      <c r="BJ312" s="68">
        <f t="shared" si="310"/>
        <v>-8.34406366146344</v>
      </c>
      <c r="BK312" s="31">
        <f t="shared" si="317"/>
        <v>88.4257386235061</v>
      </c>
      <c r="BL312" s="32">
        <f t="shared" si="311"/>
        <v>-21.3003566269132</v>
      </c>
      <c r="BM312" s="31">
        <f t="shared" si="312"/>
        <v>47.6704289491329</v>
      </c>
      <c r="BO312">
        <f t="shared" si="313"/>
        <v>0</v>
      </c>
      <c r="BP312">
        <f t="shared" si="314"/>
        <v>0</v>
      </c>
    </row>
    <row r="313" spans="14:68">
      <c r="N313" s="7">
        <v>95</v>
      </c>
      <c r="O313" s="18">
        <f t="shared" si="315"/>
        <v>8912.50938133747</v>
      </c>
      <c r="P313" s="86" t="str">
        <f t="shared" si="265"/>
        <v>163,636363636364</v>
      </c>
      <c r="Q313" s="4" t="str">
        <f t="shared" si="266"/>
        <v>1+342,10266411442i</v>
      </c>
      <c r="R313" s="4">
        <f t="shared" si="277"/>
        <v>342.104125660863</v>
      </c>
      <c r="S313" s="4">
        <f t="shared" si="278"/>
        <v>1.56787323598988</v>
      </c>
      <c r="T313" s="4" t="str">
        <f t="shared" si="267"/>
        <v>1+0,878063504560343i</v>
      </c>
      <c r="U313" s="4">
        <f t="shared" si="279"/>
        <v>1.33078755556279</v>
      </c>
      <c r="V313" s="4">
        <f t="shared" si="280"/>
        <v>0.720562449913858</v>
      </c>
      <c r="W313" t="str">
        <f t="shared" si="268"/>
        <v>1-0,839984219923798i</v>
      </c>
      <c r="X313" s="4">
        <f t="shared" si="281"/>
        <v>1.30597606782092</v>
      </c>
      <c r="Y313" s="4">
        <f t="shared" si="282"/>
        <v>-0.69865057272871</v>
      </c>
      <c r="Z313" t="str">
        <f t="shared" si="269"/>
        <v>0,99935156878798+0,173996731269929i</v>
      </c>
      <c r="AA313" s="4">
        <f t="shared" si="283"/>
        <v>1.01438573557184</v>
      </c>
      <c r="AB313" s="4">
        <f t="shared" si="284"/>
        <v>0.172381622768842</v>
      </c>
      <c r="AC313" s="67" t="str">
        <f t="shared" si="285"/>
        <v>-0,120479950532992-0,810620855764523i</v>
      </c>
      <c r="AD313" s="68">
        <f t="shared" si="286"/>
        <v>-1.72875351263711</v>
      </c>
      <c r="AE313" s="31">
        <f t="shared" si="287"/>
        <v>-98.4538006000919</v>
      </c>
      <c r="AF313" s="32" t="str">
        <f t="shared" si="288"/>
        <v>748,315388573934</v>
      </c>
      <c r="AG313" s="32" t="str">
        <f t="shared" si="270"/>
        <v>1+278,750318908045i</v>
      </c>
      <c r="AH313" s="32">
        <f t="shared" si="289"/>
        <v>278.752112622195</v>
      </c>
      <c r="AI313" s="32">
        <f t="shared" si="290"/>
        <v>1.56720890234264</v>
      </c>
      <c r="AJ313" s="32" t="str">
        <f t="shared" si="271"/>
        <v>1+0,878063504560343i</v>
      </c>
      <c r="AK313" s="32">
        <f t="shared" si="291"/>
        <v>1.33078755556279</v>
      </c>
      <c r="AL313" s="32">
        <f t="shared" si="292"/>
        <v>0.720562449913858</v>
      </c>
      <c r="AM313" s="32" t="str">
        <f t="shared" si="272"/>
        <v>1-0,149663483869115i</v>
      </c>
      <c r="AN313" s="32">
        <f t="shared" si="293"/>
        <v>1.01113755661821</v>
      </c>
      <c r="AO313" s="32">
        <f t="shared" si="294"/>
        <v>-0.148560820243009</v>
      </c>
      <c r="AP313" s="30" t="str">
        <f t="shared" si="295"/>
        <v>1,96628730312228-3,03026828935734i</v>
      </c>
      <c r="AQ313" s="32">
        <f t="shared" si="296"/>
        <v>11.1557096291508</v>
      </c>
      <c r="AR313" s="31">
        <f t="shared" si="297"/>
        <v>-57.021176464819</v>
      </c>
      <c r="AS313" t="str">
        <f t="shared" si="273"/>
        <v>-0,0000504684572142411</v>
      </c>
      <c r="AT313" t="str">
        <f t="shared" si="274"/>
        <v>0,0125829636144585i</v>
      </c>
      <c r="AU313">
        <f t="shared" si="298"/>
        <v>0.0125829636144585</v>
      </c>
      <c r="AV313">
        <f t="shared" si="299"/>
        <v>1.5707963267949</v>
      </c>
      <c r="AW313" t="str">
        <f t="shared" si="275"/>
        <v>1+0,644224657618459i</v>
      </c>
      <c r="AX313">
        <f t="shared" si="300"/>
        <v>1.18954840569168</v>
      </c>
      <c r="AY313">
        <f t="shared" si="301"/>
        <v>0.572304505770327</v>
      </c>
      <c r="AZ313" t="str">
        <f t="shared" si="276"/>
        <v>1+30,7994213972059i</v>
      </c>
      <c r="BA313">
        <f t="shared" si="302"/>
        <v>30.815651192254</v>
      </c>
      <c r="BB313">
        <f t="shared" si="303"/>
        <v>1.53833958626798</v>
      </c>
      <c r="BC313" s="30" t="str">
        <f t="shared" si="304"/>
        <v>-0,0854741943179177+0,0590754397368375i</v>
      </c>
      <c r="BD313" s="32">
        <f t="shared" si="305"/>
        <v>-19.6674736312697</v>
      </c>
      <c r="BE313" s="31">
        <f t="shared" si="306"/>
        <v>145.349732974096</v>
      </c>
      <c r="BF313" s="30" t="str">
        <f t="shared" si="307"/>
        <v>0,0581857102174108+0,0621697584865646i</v>
      </c>
      <c r="BG313" s="68">
        <f t="shared" si="308"/>
        <v>-21.3962271439068</v>
      </c>
      <c r="BH313" s="31">
        <f t="shared" si="309"/>
        <v>46.8959323740044</v>
      </c>
      <c r="BI313" s="30" t="str">
        <f t="shared" si="316"/>
        <v>0,0109476086824511+0,375169027680862i</v>
      </c>
      <c r="BJ313" s="68">
        <f t="shared" si="310"/>
        <v>-8.5117640021189</v>
      </c>
      <c r="BK313" s="31">
        <f t="shared" si="317"/>
        <v>88.3285565092774</v>
      </c>
      <c r="BL313" s="32">
        <f t="shared" si="311"/>
        <v>-21.3962271439068</v>
      </c>
      <c r="BM313" s="31">
        <f t="shared" si="312"/>
        <v>46.8959323740044</v>
      </c>
      <c r="BO313">
        <f t="shared" si="313"/>
        <v>0</v>
      </c>
      <c r="BP313">
        <f t="shared" si="314"/>
        <v>0</v>
      </c>
    </row>
    <row r="314" spans="14:68">
      <c r="N314" s="7">
        <v>96</v>
      </c>
      <c r="O314" s="18">
        <f t="shared" si="315"/>
        <v>9120.10839355911</v>
      </c>
      <c r="P314" s="86" t="str">
        <f t="shared" si="265"/>
        <v>163,636363636364</v>
      </c>
      <c r="Q314" s="4" t="str">
        <f t="shared" si="266"/>
        <v>1+350,071258828862i</v>
      </c>
      <c r="R314" s="4">
        <f t="shared" si="277"/>
        <v>350.072687106584</v>
      </c>
      <c r="S314" s="4">
        <f t="shared" si="278"/>
        <v>1.56793977329382</v>
      </c>
      <c r="T314" s="4" t="str">
        <f t="shared" si="267"/>
        <v>1+0,898516230994079i</v>
      </c>
      <c r="U314" s="4">
        <f t="shared" si="279"/>
        <v>1.34437026795441</v>
      </c>
      <c r="V314" s="4">
        <f t="shared" si="280"/>
        <v>0.731994734833681</v>
      </c>
      <c r="W314" t="str">
        <f t="shared" si="268"/>
        <v>1-0,859549965874438i</v>
      </c>
      <c r="X314" s="4">
        <f t="shared" si="281"/>
        <v>1.31864557172682</v>
      </c>
      <c r="Y314" s="4">
        <f t="shared" si="282"/>
        <v>-0.710012250150401</v>
      </c>
      <c r="Z314" t="str">
        <f t="shared" si="269"/>
        <v>0,999321009166447+0,178049635788276i</v>
      </c>
      <c r="AA314" s="4">
        <f t="shared" si="283"/>
        <v>1.01505869395113</v>
      </c>
      <c r="AB314" s="4">
        <f t="shared" si="284"/>
        <v>0.176320398747767</v>
      </c>
      <c r="AC314" s="67" t="str">
        <f t="shared" si="285"/>
        <v>-0,123189703704853-0,807003560839101i</v>
      </c>
      <c r="AD314" s="68">
        <f t="shared" si="286"/>
        <v>-1.76245167517103</v>
      </c>
      <c r="AE314" s="31">
        <f t="shared" si="287"/>
        <v>-98.6792426351831</v>
      </c>
      <c r="AF314" s="32" t="str">
        <f t="shared" si="288"/>
        <v>748,315388573934</v>
      </c>
      <c r="AG314" s="32" t="str">
        <f t="shared" si="270"/>
        <v>1+285,243247934628i</v>
      </c>
      <c r="AH314" s="32">
        <f t="shared" si="289"/>
        <v>285.245000819113</v>
      </c>
      <c r="AI314" s="32">
        <f t="shared" si="290"/>
        <v>1.56729056141591</v>
      </c>
      <c r="AJ314" s="32" t="str">
        <f t="shared" si="271"/>
        <v>1+0,898516230994079i</v>
      </c>
      <c r="AK314" s="32">
        <f t="shared" si="291"/>
        <v>1.34437026795441</v>
      </c>
      <c r="AL314" s="32">
        <f t="shared" si="292"/>
        <v>0.731994734833681</v>
      </c>
      <c r="AM314" s="32" t="str">
        <f t="shared" si="272"/>
        <v>1-0,153149594243589i</v>
      </c>
      <c r="AN314" s="32">
        <f t="shared" si="293"/>
        <v>1.0116594279781</v>
      </c>
      <c r="AO314" s="32">
        <f t="shared" si="294"/>
        <v>-0.151968803081112</v>
      </c>
      <c r="AP314" s="30" t="str">
        <f t="shared" si="295"/>
        <v>1,96585499838882-2,97754029896183i</v>
      </c>
      <c r="AQ314" s="32">
        <f t="shared" si="296"/>
        <v>11.0483973359838</v>
      </c>
      <c r="AR314" s="31">
        <f t="shared" si="297"/>
        <v>-56.5660965422555</v>
      </c>
      <c r="AS314" t="str">
        <f t="shared" si="273"/>
        <v>-0,0000504684572142411</v>
      </c>
      <c r="AT314" t="str">
        <f t="shared" si="274"/>
        <v>0,0128760584887991i</v>
      </c>
      <c r="AU314">
        <f t="shared" si="298"/>
        <v>0.0128760584887991</v>
      </c>
      <c r="AV314">
        <f t="shared" si="299"/>
        <v>1.5707963267949</v>
      </c>
      <c r="AW314" t="str">
        <f t="shared" si="275"/>
        <v>1+0,659230577595437i</v>
      </c>
      <c r="AX314">
        <f t="shared" si="300"/>
        <v>1.19774160587199</v>
      </c>
      <c r="AY314">
        <f t="shared" si="301"/>
        <v>0.58283685862589</v>
      </c>
      <c r="AZ314" t="str">
        <f t="shared" si="276"/>
        <v>1+31,5168320820627i</v>
      </c>
      <c r="BA314">
        <f t="shared" si="302"/>
        <v>31.5326926298554</v>
      </c>
      <c r="BB314">
        <f t="shared" si="303"/>
        <v>1.53907789069574</v>
      </c>
      <c r="BC314" s="30" t="str">
        <f t="shared" si="304"/>
        <v>-0,0843088145048024+0,0594985064168398i</v>
      </c>
      <c r="BD314" s="32">
        <f t="shared" si="305"/>
        <v>-19.7272998065616</v>
      </c>
      <c r="BE314" s="31">
        <f t="shared" si="306"/>
        <v>144.788575334836</v>
      </c>
      <c r="BF314" s="30" t="str">
        <f t="shared" si="307"/>
        <v>0,0584014844215518+0,060707910139127i</v>
      </c>
      <c r="BG314" s="68">
        <f t="shared" si="308"/>
        <v>-21.4897514817326</v>
      </c>
      <c r="BH314" s="31">
        <f t="shared" si="309"/>
        <v>46.1093326996534</v>
      </c>
      <c r="BI314" s="30" t="str">
        <f t="shared" si="316"/>
        <v>0,0114202961816779+0,367998328981961i</v>
      </c>
      <c r="BJ314" s="68">
        <f t="shared" si="310"/>
        <v>-8.6789024705778</v>
      </c>
      <c r="BK314" s="31">
        <f t="shared" si="317"/>
        <v>88.2224787925809</v>
      </c>
      <c r="BL314" s="32">
        <f t="shared" si="311"/>
        <v>-21.4897514817326</v>
      </c>
      <c r="BM314" s="31">
        <f t="shared" si="312"/>
        <v>46.1093326996534</v>
      </c>
      <c r="BO314">
        <f t="shared" si="313"/>
        <v>0</v>
      </c>
      <c r="BP314">
        <f t="shared" si="314"/>
        <v>0</v>
      </c>
    </row>
    <row r="315" spans="14:68">
      <c r="N315" s="7">
        <v>97</v>
      </c>
      <c r="O315" s="18">
        <f t="shared" si="315"/>
        <v>9332.54300796992</v>
      </c>
      <c r="P315" s="86" t="str">
        <f t="shared" si="265"/>
        <v>163,636363636364</v>
      </c>
      <c r="Q315" s="4" t="str">
        <f t="shared" si="266"/>
        <v>1+358,225465958477i</v>
      </c>
      <c r="R315" s="4">
        <f t="shared" si="277"/>
        <v>358.226861724757</v>
      </c>
      <c r="S315" s="4">
        <f t="shared" si="278"/>
        <v>1.56800479604826</v>
      </c>
      <c r="T315" s="4" t="str">
        <f t="shared" si="267"/>
        <v>1+0,919445362626756i</v>
      </c>
      <c r="U315" s="4">
        <f t="shared" si="279"/>
        <v>1.35844756058372</v>
      </c>
      <c r="V315" s="4">
        <f t="shared" si="280"/>
        <v>0.743455112744979</v>
      </c>
      <c r="W315" t="str">
        <f t="shared" si="268"/>
        <v>1-0,879571456594474i</v>
      </c>
      <c r="X315" s="4">
        <f t="shared" si="281"/>
        <v>1.33178299555736</v>
      </c>
      <c r="Y315" s="4">
        <f t="shared" si="282"/>
        <v>-0.721413284985546</v>
      </c>
      <c r="Z315" t="str">
        <f t="shared" si="269"/>
        <v>0,999289009314322+0,182196944580284i</v>
      </c>
      <c r="AA315" s="4">
        <f t="shared" si="283"/>
        <v>1.01576289100892</v>
      </c>
      <c r="AB315" s="4">
        <f t="shared" si="284"/>
        <v>0.18034558233424</v>
      </c>
      <c r="AC315" s="67" t="str">
        <f t="shared" si="285"/>
        <v>-0,126013853087965-0,803771990198517i</v>
      </c>
      <c r="AD315" s="68">
        <f t="shared" si="286"/>
        <v>-1.79188654850617</v>
      </c>
      <c r="AE315" s="31">
        <f t="shared" si="287"/>
        <v>-98.9101940880481</v>
      </c>
      <c r="AF315" s="32" t="str">
        <f t="shared" si="288"/>
        <v>748,315388573934</v>
      </c>
      <c r="AG315" s="32" t="str">
        <f t="shared" si="270"/>
        <v>1+291,887416706907i</v>
      </c>
      <c r="AH315" s="32">
        <f t="shared" si="289"/>
        <v>291.889129691106</v>
      </c>
      <c r="AI315" s="32">
        <f t="shared" si="290"/>
        <v>1.56737036174691</v>
      </c>
      <c r="AJ315" s="32" t="str">
        <f t="shared" si="271"/>
        <v>1+0,919445362626756i</v>
      </c>
      <c r="AK315" s="32">
        <f t="shared" si="291"/>
        <v>1.35844756058372</v>
      </c>
      <c r="AL315" s="32">
        <f t="shared" si="292"/>
        <v>0.743455112744979</v>
      </c>
      <c r="AM315" s="32" t="str">
        <f t="shared" si="272"/>
        <v>1-0,156716906560106i</v>
      </c>
      <c r="AN315" s="32">
        <f t="shared" si="293"/>
        <v>1.01220560599207</v>
      </c>
      <c r="AO315" s="32">
        <f t="shared" si="294"/>
        <v>-0.155452488575867</v>
      </c>
      <c r="AP315" s="30" t="str">
        <f t="shared" si="295"/>
        <v>1,96544215010597-2,92639090338733i</v>
      </c>
      <c r="AQ315" s="32">
        <f t="shared" si="296"/>
        <v>10.94356742314</v>
      </c>
      <c r="AR315" s="31">
        <f t="shared" si="297"/>
        <v>-56.1136379544837</v>
      </c>
      <c r="AS315" t="str">
        <f t="shared" si="273"/>
        <v>-0,0000504684572142411</v>
      </c>
      <c r="AT315" t="str">
        <f t="shared" si="274"/>
        <v>0,0131759804197852i</v>
      </c>
      <c r="AU315">
        <f t="shared" si="298"/>
        <v>0.0131759804197852</v>
      </c>
      <c r="AV315">
        <f t="shared" si="299"/>
        <v>1.5707963267949</v>
      </c>
      <c r="AW315" t="str">
        <f t="shared" si="275"/>
        <v>1+0,674586030350605i</v>
      </c>
      <c r="AX315">
        <f t="shared" si="300"/>
        <v>1.20626129521932</v>
      </c>
      <c r="AY315">
        <f t="shared" si="301"/>
        <v>0.593465219053373</v>
      </c>
      <c r="AZ315" t="str">
        <f t="shared" si="276"/>
        <v>1+32,250953408464i</v>
      </c>
      <c r="BA315">
        <f t="shared" si="302"/>
        <v>32.266453101556</v>
      </c>
      <c r="BB315">
        <f t="shared" si="303"/>
        <v>1.53979942268891</v>
      </c>
      <c r="BC315" s="30" t="str">
        <f t="shared" si="304"/>
        <v>-0,0831220926420463+0,0599033404130725i</v>
      </c>
      <c r="BD315" s="32">
        <f t="shared" si="305"/>
        <v>-19.7890615371824</v>
      </c>
      <c r="BE315" s="31">
        <f t="shared" si="306"/>
        <v>144.22095587719</v>
      </c>
      <c r="BF315" s="30" t="str">
        <f t="shared" si="307"/>
        <v>0,0586231623139136+0,0592625590940718i</v>
      </c>
      <c r="BG315" s="68">
        <f t="shared" si="308"/>
        <v>-21.5809480856885</v>
      </c>
      <c r="BH315" s="31">
        <f t="shared" si="309"/>
        <v>45.3107617891418</v>
      </c>
      <c r="BI315" s="30" t="str">
        <f t="shared" si="316"/>
        <v>0,0119289259836389+0,360984285958202i</v>
      </c>
      <c r="BJ315" s="68">
        <f t="shared" si="310"/>
        <v>-8.84549411404238</v>
      </c>
      <c r="BK315" s="31">
        <f t="shared" si="317"/>
        <v>88.1073179227061</v>
      </c>
      <c r="BL315" s="32">
        <f t="shared" si="311"/>
        <v>-21.5809480856885</v>
      </c>
      <c r="BM315" s="31">
        <f t="shared" si="312"/>
        <v>45.3107617891418</v>
      </c>
      <c r="BO315">
        <f t="shared" si="313"/>
        <v>0</v>
      </c>
      <c r="BP315">
        <f t="shared" si="314"/>
        <v>0</v>
      </c>
    </row>
    <row r="316" spans="14:68">
      <c r="N316" s="7">
        <v>98</v>
      </c>
      <c r="O316" s="18">
        <f t="shared" si="315"/>
        <v>9549.92586021437</v>
      </c>
      <c r="P316" s="86" t="str">
        <f t="shared" si="265"/>
        <v>163,636363636364</v>
      </c>
      <c r="Q316" s="4" t="str">
        <f t="shared" si="266"/>
        <v>1+366,569608971817i</v>
      </c>
      <c r="R316" s="4">
        <f t="shared" si="277"/>
        <v>366.570972966697</v>
      </c>
      <c r="S316" s="4">
        <f t="shared" si="278"/>
        <v>1.56806833872692</v>
      </c>
      <c r="T316" s="4" t="str">
        <f t="shared" si="267"/>
        <v>1+0,940861996360996i</v>
      </c>
      <c r="U316" s="4">
        <f t="shared" si="279"/>
        <v>1.37303361073078</v>
      </c>
      <c r="V316" s="4">
        <f t="shared" si="280"/>
        <v>0.754937619410716</v>
      </c>
      <c r="W316" t="str">
        <f t="shared" si="268"/>
        <v>1-0,9000593077433i</v>
      </c>
      <c r="X316" s="4">
        <f t="shared" si="281"/>
        <v>1.34540208021816</v>
      </c>
      <c r="Y316" s="4">
        <f t="shared" si="282"/>
        <v>-0.732847867529237</v>
      </c>
      <c r="Z316" t="str">
        <f t="shared" si="269"/>
        <v>0,999255501355628+0,186440856603969i</v>
      </c>
      <c r="AA316" s="4">
        <f t="shared" si="283"/>
        <v>1.01649975405836</v>
      </c>
      <c r="AB316" s="4">
        <f t="shared" si="284"/>
        <v>0.184458820276882</v>
      </c>
      <c r="AC316" s="67" t="str">
        <f t="shared" si="285"/>
        <v>-0,128957360665789-0,800921604967626i</v>
      </c>
      <c r="AD316" s="68">
        <f t="shared" si="286"/>
        <v>-1.81704533644164</v>
      </c>
      <c r="AE316" s="31">
        <f t="shared" si="287"/>
        <v>-99.1467601396703</v>
      </c>
      <c r="AF316" s="32" t="str">
        <f t="shared" si="288"/>
        <v>748,315388573934</v>
      </c>
      <c r="AG316" s="32" t="str">
        <f t="shared" si="270"/>
        <v>1+298,68634805111i</v>
      </c>
      <c r="AH316" s="32">
        <f t="shared" si="289"/>
        <v>298.68802204325</v>
      </c>
      <c r="AI316" s="32">
        <f t="shared" si="290"/>
        <v>1.56744834564277</v>
      </c>
      <c r="AJ316" s="32" t="str">
        <f t="shared" si="271"/>
        <v>1+0,940861996360996i</v>
      </c>
      <c r="AK316" s="32">
        <f t="shared" si="291"/>
        <v>1.37303361073078</v>
      </c>
      <c r="AL316" s="32">
        <f t="shared" si="292"/>
        <v>0.754937619410716</v>
      </c>
      <c r="AM316" s="32" t="str">
        <f t="shared" si="272"/>
        <v>1-0,160367312254874i</v>
      </c>
      <c r="AN316" s="32">
        <f t="shared" si="293"/>
        <v>1.01277720888646</v>
      </c>
      <c r="AO316" s="32">
        <f t="shared" si="294"/>
        <v>-0.159013385423806</v>
      </c>
      <c r="AP316" s="30" t="str">
        <f t="shared" si="295"/>
        <v>1,96504788263033-2,87679299165504i</v>
      </c>
      <c r="AQ316" s="32">
        <f t="shared" si="296"/>
        <v>10.8412391498428</v>
      </c>
      <c r="AR316" s="31">
        <f t="shared" si="297"/>
        <v>-55.6642312930775</v>
      </c>
      <c r="AS316" t="str">
        <f t="shared" si="273"/>
        <v>-0,0000504684572142411</v>
      </c>
      <c r="AT316" t="str">
        <f t="shared" si="274"/>
        <v>0,0134828884299946i</v>
      </c>
      <c r="AU316">
        <f t="shared" si="298"/>
        <v>0.0134828884299946</v>
      </c>
      <c r="AV316">
        <f t="shared" si="299"/>
        <v>1.5707963267949</v>
      </c>
      <c r="AW316" t="str">
        <f t="shared" si="275"/>
        <v>1+0,690299157548266i</v>
      </c>
      <c r="AX316">
        <f t="shared" si="300"/>
        <v>1.21511848266408</v>
      </c>
      <c r="AY316">
        <f t="shared" si="301"/>
        <v>0.604185617447938</v>
      </c>
      <c r="AZ316" t="str">
        <f t="shared" si="276"/>
        <v>1+33,0021746172543i</v>
      </c>
      <c r="BA316">
        <f t="shared" si="302"/>
        <v>33.0173216579986</v>
      </c>
      <c r="BB316">
        <f t="shared" si="303"/>
        <v>1.54050456180648</v>
      </c>
      <c r="BC316" s="30" t="str">
        <f t="shared" si="304"/>
        <v>-0,0819147293670905+0,06028881744078i</v>
      </c>
      <c r="BD316" s="32">
        <f t="shared" si="305"/>
        <v>-19.8527939603898</v>
      </c>
      <c r="BE316" s="31">
        <f t="shared" si="306"/>
        <v>143.647123789889</v>
      </c>
      <c r="BF316" s="30" t="str">
        <f t="shared" si="307"/>
        <v>0,0588501237251021+0,0578325897403543i</v>
      </c>
      <c r="BG316" s="68">
        <f t="shared" si="308"/>
        <v>-21.6698392968314</v>
      </c>
      <c r="BH316" s="31">
        <f t="shared" si="309"/>
        <v>44.5003636502189</v>
      </c>
      <c r="BI316" s="30" t="str">
        <f t="shared" si="316"/>
        <v>0,0124720819897683+0,354122132414856i</v>
      </c>
      <c r="BJ316" s="68">
        <f t="shared" si="310"/>
        <v>-9.01155481054699</v>
      </c>
      <c r="BK316" s="31">
        <f t="shared" si="317"/>
        <v>87.9828924968117</v>
      </c>
      <c r="BL316" s="32">
        <f t="shared" si="311"/>
        <v>-21.6698392968314</v>
      </c>
      <c r="BM316" s="31">
        <f t="shared" si="312"/>
        <v>44.5003636502189</v>
      </c>
      <c r="BO316">
        <f t="shared" si="313"/>
        <v>0</v>
      </c>
      <c r="BP316">
        <f t="shared" si="314"/>
        <v>0</v>
      </c>
    </row>
    <row r="317" spans="14:68">
      <c r="N317" s="7">
        <v>99</v>
      </c>
      <c r="O317" s="18">
        <f t="shared" si="315"/>
        <v>9772.37220955812</v>
      </c>
      <c r="P317" s="86" t="str">
        <f t="shared" si="265"/>
        <v>163,636363636364</v>
      </c>
      <c r="Q317" s="4" t="str">
        <f t="shared" si="266"/>
        <v>1+375,108112043957i</v>
      </c>
      <c r="R317" s="4">
        <f t="shared" si="277"/>
        <v>375.109444990634</v>
      </c>
      <c r="S317" s="4">
        <f t="shared" si="278"/>
        <v>1.5681304350189</v>
      </c>
      <c r="T317" s="4" t="str">
        <f t="shared" si="267"/>
        <v>1+0,962777487579488i</v>
      </c>
      <c r="U317" s="4">
        <f t="shared" si="279"/>
        <v>1.3881428206744</v>
      </c>
      <c r="V317" s="4">
        <f t="shared" si="280"/>
        <v>0.766436232475009</v>
      </c>
      <c r="W317" t="str">
        <f t="shared" si="268"/>
        <v>1-0,921024382250787i</v>
      </c>
      <c r="X317" s="4">
        <f t="shared" si="281"/>
        <v>1.35951679382803</v>
      </c>
      <c r="Y317" s="4">
        <f t="shared" si="282"/>
        <v>-0.744310100953829</v>
      </c>
      <c r="Z317" t="str">
        <f t="shared" si="269"/>
        <v>0,999220414215493+0,190783622037663i</v>
      </c>
      <c r="AA317" s="4">
        <f t="shared" si="283"/>
        <v>1.0172707735027</v>
      </c>
      <c r="AB317" s="4">
        <f t="shared" si="284"/>
        <v>0.188661773368029</v>
      </c>
      <c r="AC317" s="67" t="str">
        <f t="shared" si="285"/>
        <v>-0,132025348761607-0,798447887848902i</v>
      </c>
      <c r="AD317" s="68">
        <f t="shared" si="286"/>
        <v>-1.83792037648618</v>
      </c>
      <c r="AE317" s="31">
        <f t="shared" si="287"/>
        <v>-99.3890450689237</v>
      </c>
      <c r="AF317" s="32" t="str">
        <f t="shared" si="288"/>
        <v>748,315388573934</v>
      </c>
      <c r="AG317" s="32" t="str">
        <f t="shared" si="270"/>
        <v>1+305,643646850631i</v>
      </c>
      <c r="AH317" s="32">
        <f t="shared" si="289"/>
        <v>305.645282738264</v>
      </c>
      <c r="AI317" s="32">
        <f t="shared" si="290"/>
        <v>1.5675245544478</v>
      </c>
      <c r="AJ317" s="32" t="str">
        <f t="shared" si="271"/>
        <v>1+0,962777487579488i</v>
      </c>
      <c r="AK317" s="32">
        <f t="shared" si="291"/>
        <v>1.3881428206744</v>
      </c>
      <c r="AL317" s="32">
        <f t="shared" si="292"/>
        <v>0.766436232475009</v>
      </c>
      <c r="AM317" s="32" t="str">
        <f t="shared" si="272"/>
        <v>1-0,164102746821312i</v>
      </c>
      <c r="AN317" s="32">
        <f t="shared" si="293"/>
        <v>1.01337540502733</v>
      </c>
      <c r="AO317" s="32">
        <f t="shared" si="294"/>
        <v>-0.162653020257987</v>
      </c>
      <c r="AP317" s="30" t="str">
        <f t="shared" si="295"/>
        <v>1,96467135972532-2,82872027479553i</v>
      </c>
      <c r="AQ317" s="32">
        <f t="shared" si="296"/>
        <v>10.7414297962099</v>
      </c>
      <c r="AR317" s="31">
        <f t="shared" si="297"/>
        <v>-55.2183114520965</v>
      </c>
      <c r="AS317" t="str">
        <f t="shared" si="273"/>
        <v>-0,0000504684572142411</v>
      </c>
      <c r="AT317" t="str">
        <f t="shared" si="274"/>
        <v>0,0137969452461168i</v>
      </c>
      <c r="AU317">
        <f t="shared" si="298"/>
        <v>0.0137969452461168</v>
      </c>
      <c r="AV317">
        <f t="shared" si="299"/>
        <v>1.5707963267949</v>
      </c>
      <c r="AW317" t="str">
        <f t="shared" si="275"/>
        <v>1+0,706378290496449i</v>
      </c>
      <c r="AX317">
        <f t="shared" si="300"/>
        <v>1.22432442158306</v>
      </c>
      <c r="AY317">
        <f t="shared" si="301"/>
        <v>0.614993881408743</v>
      </c>
      <c r="AZ317" t="str">
        <f t="shared" si="276"/>
        <v>1+33,7708940158621i</v>
      </c>
      <c r="BA317">
        <f t="shared" si="302"/>
        <v>33.7856964206836</v>
      </c>
      <c r="BB317">
        <f t="shared" si="303"/>
        <v>1.54119367911608</v>
      </c>
      <c r="BC317" s="30" t="str">
        <f t="shared" si="304"/>
        <v>-0,0806874943950428+0,0606538386547625i</v>
      </c>
      <c r="BD317" s="32">
        <f t="shared" si="305"/>
        <v>-19.91853097904</v>
      </c>
      <c r="BE317" s="31">
        <f t="shared" si="306"/>
        <v>143.067339394501</v>
      </c>
      <c r="BF317" s="30" t="str">
        <f t="shared" si="307"/>
        <v>0,0590817239520289+0,0564169152734168i</v>
      </c>
      <c r="BG317" s="68">
        <f t="shared" si="308"/>
        <v>-21.7564513555262</v>
      </c>
      <c r="BH317" s="31">
        <f t="shared" si="309"/>
        <v>43.6782943255773</v>
      </c>
      <c r="BI317" s="30" t="str">
        <f t="shared" si="316"/>
        <v>0,0130483338209656+0,347407210980121i</v>
      </c>
      <c r="BJ317" s="68">
        <f t="shared" si="310"/>
        <v>-9.17710118283017</v>
      </c>
      <c r="BK317" s="31">
        <f t="shared" si="317"/>
        <v>87.8490279424044</v>
      </c>
      <c r="BL317" s="32">
        <f t="shared" si="311"/>
        <v>-21.7564513555262</v>
      </c>
      <c r="BM317" s="31">
        <f t="shared" si="312"/>
        <v>43.6782943255773</v>
      </c>
      <c r="BO317">
        <f t="shared" si="313"/>
        <v>0</v>
      </c>
      <c r="BP317">
        <f t="shared" si="314"/>
        <v>0</v>
      </c>
    </row>
    <row r="318" spans="14:68">
      <c r="N318" s="7">
        <v>100</v>
      </c>
      <c r="O318" s="18">
        <f t="shared" si="315"/>
        <v>10000</v>
      </c>
      <c r="P318" s="86" t="str">
        <f t="shared" si="265"/>
        <v>163,636363636364</v>
      </c>
      <c r="Q318" s="4" t="str">
        <f t="shared" si="266"/>
        <v>1+383,845502402244i</v>
      </c>
      <c r="R318" s="4">
        <f t="shared" si="277"/>
        <v>383.846805007455</v>
      </c>
      <c r="S318" s="4">
        <f t="shared" si="278"/>
        <v>1.56819111784658</v>
      </c>
      <c r="T318" s="4" t="str">
        <f t="shared" si="267"/>
        <v>1+0,98520345616576i</v>
      </c>
      <c r="U318" s="4">
        <f t="shared" si="279"/>
        <v>1.40378981690314</v>
      </c>
      <c r="V318" s="4">
        <f t="shared" si="280"/>
        <v>0.777944887110802</v>
      </c>
      <c r="W318" t="str">
        <f t="shared" si="268"/>
        <v>1-0,942477796076939i</v>
      </c>
      <c r="X318" s="4">
        <f t="shared" si="281"/>
        <v>1.37414133046716</v>
      </c>
      <c r="Y318" s="4">
        <f t="shared" si="282"/>
        <v>-0.755794016159308</v>
      </c>
      <c r="Z318" t="str">
        <f t="shared" si="269"/>
        <v>0,999183673469388+0,19522754347308i</v>
      </c>
      <c r="AA318" s="4">
        <f t="shared" si="283"/>
        <v>1.01807750542791</v>
      </c>
      <c r="AB318" s="4">
        <f t="shared" si="284"/>
        <v>0.192956115245935</v>
      </c>
      <c r="AC318" s="67" t="str">
        <f t="shared" si="285"/>
        <v>-0,13522310283974-0,796346330274421i</v>
      </c>
      <c r="AD318" s="68">
        <f t="shared" si="286"/>
        <v>-1.85450923866188</v>
      </c>
      <c r="AE318" s="31">
        <f t="shared" si="287"/>
        <v>-99.6371521392844</v>
      </c>
      <c r="AF318" s="32" t="str">
        <f t="shared" si="288"/>
        <v>748,315388573934</v>
      </c>
      <c r="AG318" s="32" t="str">
        <f t="shared" si="270"/>
        <v>1+312,763001957384i</v>
      </c>
      <c r="AH318" s="32">
        <f t="shared" si="289"/>
        <v>312.764600607861</v>
      </c>
      <c r="AI318" s="32">
        <f t="shared" si="290"/>
        <v>1.56759902856535</v>
      </c>
      <c r="AJ318" s="32" t="str">
        <f t="shared" si="271"/>
        <v>1+0,98520345616576i</v>
      </c>
      <c r="AK318" s="32">
        <f t="shared" si="291"/>
        <v>1.40378981690314</v>
      </c>
      <c r="AL318" s="32">
        <f t="shared" si="292"/>
        <v>0.777944887110802</v>
      </c>
      <c r="AM318" s="32" t="str">
        <f t="shared" si="272"/>
        <v>1-0,167925190836272i</v>
      </c>
      <c r="AN318" s="32">
        <f t="shared" si="293"/>
        <v>1.01400141504704</v>
      </c>
      <c r="AO318" s="32">
        <f t="shared" si="294"/>
        <v>-0.166372936952708</v>
      </c>
      <c r="AP318" s="30" t="str">
        <f t="shared" si="295"/>
        <v>1,96431178278794-2,78214727195058i</v>
      </c>
      <c r="AQ318" s="32">
        <f t="shared" si="296"/>
        <v>10.6441546457943</v>
      </c>
      <c r="AR318" s="31">
        <f t="shared" si="297"/>
        <v>-54.7763166929584</v>
      </c>
      <c r="AS318" t="str">
        <f t="shared" si="273"/>
        <v>-0,0000504684572142411</v>
      </c>
      <c r="AT318" t="str">
        <f t="shared" si="274"/>
        <v>0,0141183173852325i</v>
      </c>
      <c r="AU318">
        <f t="shared" si="298"/>
        <v>0.0141183173852325</v>
      </c>
      <c r="AV318">
        <f t="shared" si="299"/>
        <v>1.5707963267949</v>
      </c>
      <c r="AW318" t="str">
        <f t="shared" si="275"/>
        <v>1+0,722831954564274i</v>
      </c>
      <c r="AX318">
        <f t="shared" si="300"/>
        <v>1.23389060882203</v>
      </c>
      <c r="AY318">
        <f t="shared" si="301"/>
        <v>0.625885640871304</v>
      </c>
      <c r="AZ318" t="str">
        <f t="shared" si="276"/>
        <v>1+34,5575191894877i</v>
      </c>
      <c r="BA318">
        <f t="shared" si="302"/>
        <v>34.5719847930635</v>
      </c>
      <c r="BB318">
        <f t="shared" si="303"/>
        <v>1.54186713737732</v>
      </c>
      <c r="BC318" s="30" t="str">
        <f t="shared" si="304"/>
        <v>-0,0794412257788626+0,0609973358244206i</v>
      </c>
      <c r="BD318" s="32">
        <f t="shared" si="305"/>
        <v>-19.986305148744</v>
      </c>
      <c r="BE318" s="31">
        <f t="shared" si="306"/>
        <v>142.481873861872</v>
      </c>
      <c r="BF318" s="30" t="str">
        <f t="shared" si="307"/>
        <v>0,059317293583504+0,0550144796063632i</v>
      </c>
      <c r="BG318" s="68">
        <f t="shared" si="308"/>
        <v>-21.8408143874058</v>
      </c>
      <c r="BH318" s="31">
        <f t="shared" si="309"/>
        <v>42.8447217225875</v>
      </c>
      <c r="BI318" s="30" t="str">
        <f t="shared" si="316"/>
        <v>0,0136562356236283+0,340834975059655i</v>
      </c>
      <c r="BJ318" s="68">
        <f t="shared" si="310"/>
        <v>-9.34215050294971</v>
      </c>
      <c r="BK318" s="31">
        <f t="shared" si="317"/>
        <v>87.7055571689135</v>
      </c>
      <c r="BL318" s="32">
        <f t="shared" si="311"/>
        <v>-21.8408143874058</v>
      </c>
      <c r="BM318" s="31">
        <f t="shared" si="312"/>
        <v>42.8447217225875</v>
      </c>
      <c r="BO318">
        <f t="shared" si="313"/>
        <v>0</v>
      </c>
      <c r="BP318">
        <f t="shared" si="314"/>
        <v>0</v>
      </c>
    </row>
    <row r="319" spans="14:68">
      <c r="N319" s="7">
        <v>1</v>
      </c>
      <c r="O319" s="18">
        <f>10^(4+(N319/100))</f>
        <v>10232.9299228075</v>
      </c>
      <c r="P319" s="86" t="str">
        <f t="shared" si="265"/>
        <v>163,636363636364</v>
      </c>
      <c r="Q319" s="4" t="str">
        <f t="shared" si="266"/>
        <v>1+392,7864127267i</v>
      </c>
      <c r="R319" s="4">
        <f t="shared" si="277"/>
        <v>392.787685681093</v>
      </c>
      <c r="S319" s="4">
        <f t="shared" si="278"/>
        <v>1.56825041938301</v>
      </c>
      <c r="T319" s="4" t="str">
        <f t="shared" si="267"/>
        <v>1+1,0081517926652i</v>
      </c>
      <c r="U319" s="4">
        <f t="shared" si="279"/>
        <v>1.41998944962773</v>
      </c>
      <c r="V319" s="4">
        <f t="shared" si="280"/>
        <v>0.789457491939963</v>
      </c>
      <c r="W319" t="str">
        <f t="shared" si="268"/>
        <v>1-0,964430924105737i</v>
      </c>
      <c r="X319" s="4">
        <f t="shared" si="281"/>
        <v>1.38929010914619</v>
      </c>
      <c r="Y319" s="4">
        <f t="shared" si="282"/>
        <v>-0.767293587081295</v>
      </c>
      <c r="Z319" t="str">
        <f t="shared" si="269"/>
        <v>0,999145201185265+0,199774977136188i</v>
      </c>
      <c r="AA319" s="4">
        <f t="shared" si="283"/>
        <v>1.01892157428396</v>
      </c>
      <c r="AB319" s="4">
        <f t="shared" si="284"/>
        <v>0.197343531084038</v>
      </c>
      <c r="AC319" s="67" t="str">
        <f t="shared" si="285"/>
        <v>-0,138556073996935-0,794612419080458i</v>
      </c>
      <c r="AD319" s="68">
        <f t="shared" si="286"/>
        <v>-1.86681480514719</v>
      </c>
      <c r="AE319" s="31">
        <f t="shared" si="287"/>
        <v>-99.8911834896605</v>
      </c>
      <c r="AF319" s="32" t="str">
        <f t="shared" si="288"/>
        <v>748,315388573934</v>
      </c>
      <c r="AG319" s="32" t="str">
        <f t="shared" si="270"/>
        <v>1+320,048188147682i</v>
      </c>
      <c r="AH319" s="32">
        <f t="shared" si="289"/>
        <v>320.049750408611</v>
      </c>
      <c r="AI319" s="32">
        <f t="shared" si="290"/>
        <v>1.56767180747929</v>
      </c>
      <c r="AJ319" s="32" t="str">
        <f t="shared" si="271"/>
        <v>1+1,0081517926652i</v>
      </c>
      <c r="AK319" s="32">
        <f t="shared" si="291"/>
        <v>1.41998944962773</v>
      </c>
      <c r="AL319" s="32">
        <f t="shared" si="292"/>
        <v>0.789457491939963</v>
      </c>
      <c r="AM319" s="32" t="str">
        <f t="shared" si="272"/>
        <v>1-0,171836671010164i</v>
      </c>
      <c r="AN319" s="32">
        <f t="shared" si="293"/>
        <v>1.01465651404988</v>
      </c>
      <c r="AO319" s="32">
        <f t="shared" si="294"/>
        <v>-0.170174695845854</v>
      </c>
      <c r="AP319" s="30" t="str">
        <f t="shared" si="295"/>
        <v>1,96396838915521-2,73704929690075i</v>
      </c>
      <c r="AQ319" s="32">
        <f t="shared" si="296"/>
        <v>10.5494269784761</v>
      </c>
      <c r="AR319" s="31">
        <f t="shared" si="297"/>
        <v>-54.3386876889557</v>
      </c>
      <c r="AS319" t="str">
        <f t="shared" si="273"/>
        <v>-0,0000504684572142411</v>
      </c>
      <c r="AT319" t="str">
        <f t="shared" si="274"/>
        <v>0,0144471752431039i</v>
      </c>
      <c r="AU319">
        <f t="shared" si="298"/>
        <v>0.0144471752431039</v>
      </c>
      <c r="AV319">
        <f t="shared" si="299"/>
        <v>1.5707963267949</v>
      </c>
      <c r="AW319" t="str">
        <f t="shared" si="275"/>
        <v>1+0,739668873702219i</v>
      </c>
      <c r="AX319">
        <f t="shared" si="300"/>
        <v>1.24382878352445</v>
      </c>
      <c r="AY319">
        <f t="shared" si="301"/>
        <v>0.636856334232602</v>
      </c>
      <c r="AZ319" t="str">
        <f t="shared" si="276"/>
        <v>1+35,3624672172103i</v>
      </c>
      <c r="BA319">
        <f t="shared" si="302"/>
        <v>35.3766036765582</v>
      </c>
      <c r="BB319">
        <f t="shared" si="303"/>
        <v>1.54252529122174</v>
      </c>
      <c r="BC319" s="30" t="str">
        <f t="shared" si="304"/>
        <v>-0,078176828716106+0,0613182765322031i</v>
      </c>
      <c r="BD319" s="32">
        <f t="shared" si="305"/>
        <v>-20.0561475665828</v>
      </c>
      <c r="BE319" s="31">
        <f t="shared" si="306"/>
        <v>141.891008871493</v>
      </c>
      <c r="BF319" s="30" t="str">
        <f t="shared" si="307"/>
        <v>0,0595561385135329+0,0536242593215831i</v>
      </c>
      <c r="BG319" s="68">
        <f t="shared" si="308"/>
        <v>-21.92296237173</v>
      </c>
      <c r="BH319" s="31">
        <f t="shared" si="309"/>
        <v>41.9998253818322</v>
      </c>
      <c r="BI319" s="30" t="str">
        <f t="shared" si="316"/>
        <v>0,0142943253067988+0,334400990858073i</v>
      </c>
      <c r="BJ319" s="68">
        <f t="shared" si="310"/>
        <v>-9.50672058810662</v>
      </c>
      <c r="BK319" s="31">
        <f t="shared" si="317"/>
        <v>87.552321182537</v>
      </c>
      <c r="BL319" s="32">
        <f t="shared" si="311"/>
        <v>-21.92296237173</v>
      </c>
      <c r="BM319" s="31">
        <f t="shared" si="312"/>
        <v>41.9998253818322</v>
      </c>
      <c r="BO319">
        <f t="shared" si="313"/>
        <v>0</v>
      </c>
      <c r="BP319">
        <f t="shared" si="314"/>
        <v>0</v>
      </c>
    </row>
    <row r="320" spans="14:68">
      <c r="N320" s="7">
        <v>2</v>
      </c>
      <c r="O320" s="18">
        <f t="shared" ref="O320:O383" si="318">10^(4+(N320/100))</f>
        <v>10471.285480509</v>
      </c>
      <c r="P320" s="86" t="str">
        <f t="shared" si="265"/>
        <v>163,636363636364</v>
      </c>
      <c r="Q320" s="4" t="str">
        <f t="shared" si="266"/>
        <v>1+401,93558360633i</v>
      </c>
      <c r="R320" s="4">
        <f t="shared" si="277"/>
        <v>401.936827584835</v>
      </c>
      <c r="S320" s="4">
        <f t="shared" si="278"/>
        <v>1.56830837106896</v>
      </c>
      <c r="T320" s="4" t="str">
        <f t="shared" si="267"/>
        <v>1+1,03163466458958i</v>
      </c>
      <c r="U320" s="4">
        <f t="shared" si="279"/>
        <v>1.43675679263501</v>
      </c>
      <c r="V320" s="4">
        <f t="shared" si="280"/>
        <v>0.800967945124353</v>
      </c>
      <c r="W320" t="str">
        <f t="shared" si="268"/>
        <v>1-0,986895406176258i</v>
      </c>
      <c r="X320" s="4">
        <f t="shared" si="281"/>
        <v>1.40497777303835</v>
      </c>
      <c r="Y320" s="4">
        <f t="shared" si="282"/>
        <v>-0.778802746362452</v>
      </c>
      <c r="Z320" t="str">
        <f t="shared" si="269"/>
        <v>0,99910491575825+0,20442833413651i</v>
      </c>
      <c r="AA320" s="4">
        <f t="shared" si="283"/>
        <v>1.01980467565614</v>
      </c>
      <c r="AB320" s="4">
        <f t="shared" si="284"/>
        <v>0.201825716161141</v>
      </c>
      <c r="AC320" s="67" t="str">
        <f t="shared" si="285"/>
        <v>-0,1420298811021-0,793241622690667i</v>
      </c>
      <c r="AD320" s="68">
        <f t="shared" si="286"/>
        <v>-1.87484533016705</v>
      </c>
      <c r="AE320" s="31">
        <f t="shared" si="287"/>
        <v>-100.151240029401</v>
      </c>
      <c r="AF320" s="32" t="str">
        <f t="shared" si="288"/>
        <v>748,315388573934</v>
      </c>
      <c r="AG320" s="32" t="str">
        <f t="shared" si="270"/>
        <v>1+327,503068123676i</v>
      </c>
      <c r="AH320" s="32">
        <f t="shared" si="289"/>
        <v>327.504594823372</v>
      </c>
      <c r="AI320" s="32">
        <f t="shared" si="290"/>
        <v>1.56774292977488</v>
      </c>
      <c r="AJ320" s="32" t="str">
        <f t="shared" si="271"/>
        <v>1+1,03163466458958i</v>
      </c>
      <c r="AK320" s="32">
        <f t="shared" si="291"/>
        <v>1.43675679263501</v>
      </c>
      <c r="AL320" s="32">
        <f t="shared" si="292"/>
        <v>0.800967945124353</v>
      </c>
      <c r="AM320" s="32" t="str">
        <f t="shared" si="272"/>
        <v>1-0,175839261261555i</v>
      </c>
      <c r="AN320" s="32">
        <f t="shared" si="293"/>
        <v>1.01534203389843</v>
      </c>
      <c r="AO320" s="32">
        <f t="shared" si="294"/>
        <v>-0.174059872873724</v>
      </c>
      <c r="AP320" s="30" t="str">
        <f t="shared" si="295"/>
        <v>1,96364045048688-2,69340244501172i</v>
      </c>
      <c r="AQ320" s="32">
        <f t="shared" si="296"/>
        <v>10.4572580738912</v>
      </c>
      <c r="AR320" s="31">
        <f t="shared" si="297"/>
        <v>-53.9058665549319</v>
      </c>
      <c r="AS320" t="str">
        <f t="shared" si="273"/>
        <v>-0,0000504684572142411</v>
      </c>
      <c r="AT320" t="str">
        <f t="shared" si="274"/>
        <v>0,0147836931845203i</v>
      </c>
      <c r="AU320">
        <f t="shared" si="298"/>
        <v>0.0147836931845203</v>
      </c>
      <c r="AV320">
        <f t="shared" si="299"/>
        <v>1.5707963267949</v>
      </c>
      <c r="AW320" t="str">
        <f t="shared" si="275"/>
        <v>1+0,756897975067683i</v>
      </c>
      <c r="AX320">
        <f t="shared" si="300"/>
        <v>1.25415092579066</v>
      </c>
      <c r="AY320">
        <f t="shared" si="301"/>
        <v>0.647901215469077</v>
      </c>
      <c r="AZ320" t="str">
        <f t="shared" si="276"/>
        <v>1+36,1861648931294i</v>
      </c>
      <c r="BA320">
        <f t="shared" si="302"/>
        <v>36.1999796916069</v>
      </c>
      <c r="BB320">
        <f t="shared" si="303"/>
        <v>1.54316848732918</v>
      </c>
      <c r="BC320" s="30" t="str">
        <f t="shared" si="304"/>
        <v>-0,0768952738920073+0,0616156693507662i</v>
      </c>
      <c r="BD320" s="32">
        <f t="shared" si="305"/>
        <v>-20.1280877621435</v>
      </c>
      <c r="BE320" s="31">
        <f t="shared" si="306"/>
        <v>141.295036213775</v>
      </c>
      <c r="BF320" s="30" t="str">
        <f t="shared" si="307"/>
        <v>0,0597975401471686+0,0522452656474235i</v>
      </c>
      <c r="BG320" s="68">
        <f t="shared" si="308"/>
        <v>-22.0029330923106</v>
      </c>
      <c r="BH320" s="31">
        <f t="shared" si="309"/>
        <v>41.1437961843737</v>
      </c>
      <c r="BI320" s="30" t="str">
        <f t="shared" si="316"/>
        <v>0,0149611242147741+0,328100939431568i</v>
      </c>
      <c r="BJ320" s="68">
        <f t="shared" si="310"/>
        <v>-9.67082968825226</v>
      </c>
      <c r="BK320" s="31">
        <f t="shared" si="317"/>
        <v>87.3891696588433</v>
      </c>
      <c r="BL320" s="32">
        <f t="shared" si="311"/>
        <v>-22.0029330923106</v>
      </c>
      <c r="BM320" s="31">
        <f t="shared" si="312"/>
        <v>41.1437961843737</v>
      </c>
      <c r="BO320">
        <f t="shared" si="313"/>
        <v>0</v>
      </c>
      <c r="BP320">
        <f t="shared" si="314"/>
        <v>0</v>
      </c>
    </row>
    <row r="321" spans="14:68">
      <c r="N321" s="7">
        <v>3</v>
      </c>
      <c r="O321" s="18">
        <f t="shared" si="318"/>
        <v>10715.1930523761</v>
      </c>
      <c r="P321" s="86" t="str">
        <f t="shared" si="265"/>
        <v>163,636363636364</v>
      </c>
      <c r="Q321" s="4" t="str">
        <f t="shared" si="266"/>
        <v>1+411,297866052634i</v>
      </c>
      <c r="R321" s="4">
        <f t="shared" si="277"/>
        <v>411.299081714815</v>
      </c>
      <c r="S321" s="4">
        <f t="shared" si="278"/>
        <v>1.56836500362964</v>
      </c>
      <c r="T321" s="4" t="str">
        <f t="shared" si="267"/>
        <v>1+1,05566452286843i</v>
      </c>
      <c r="U321" s="4">
        <f t="shared" si="279"/>
        <v>1.45410714352245</v>
      </c>
      <c r="V321" s="4">
        <f t="shared" si="280"/>
        <v>0.812470150524399</v>
      </c>
      <c r="W321" t="str">
        <f t="shared" si="268"/>
        <v>1-1,00988315325424i</v>
      </c>
      <c r="X321" s="4">
        <f t="shared" si="281"/>
        <v>1.4212191890158</v>
      </c>
      <c r="Y321" s="4">
        <f t="shared" si="282"/>
        <v>-0.790315401288833</v>
      </c>
      <c r="Z321" t="str">
        <f t="shared" si="269"/>
        <v>0,999062731737554+0,20919008174552i</v>
      </c>
      <c r="AA321" s="4">
        <f t="shared" si="283"/>
        <v>1.02072857912748</v>
      </c>
      <c r="AB321" s="4">
        <f t="shared" si="284"/>
        <v>0.206404374306233</v>
      </c>
      <c r="AC321" s="67" t="str">
        <f t="shared" si="285"/>
        <v>-0,145650312539281-0,792229376795326i</v>
      </c>
      <c r="AD321" s="68">
        <f t="shared" si="286"/>
        <v>-1.87861447971079</v>
      </c>
      <c r="AE321" s="31">
        <f t="shared" si="287"/>
        <v>-100.417421337415</v>
      </c>
      <c r="AF321" s="32" t="str">
        <f t="shared" si="288"/>
        <v>748,315388573934</v>
      </c>
      <c r="AG321" s="32" t="str">
        <f t="shared" si="270"/>
        <v>1+335,131594561405i</v>
      </c>
      <c r="AH321" s="32">
        <f t="shared" si="289"/>
        <v>335.13308650933</v>
      </c>
      <c r="AI321" s="32">
        <f t="shared" si="290"/>
        <v>1.56781243315922</v>
      </c>
      <c r="AJ321" s="32" t="str">
        <f t="shared" si="271"/>
        <v>1+1,05566452286843i</v>
      </c>
      <c r="AK321" s="32">
        <f t="shared" si="291"/>
        <v>1.45410714352245</v>
      </c>
      <c r="AL321" s="32">
        <f t="shared" si="292"/>
        <v>0.812470150524399</v>
      </c>
      <c r="AM321" s="32" t="str">
        <f t="shared" si="272"/>
        <v>1-0,179935083816775i</v>
      </c>
      <c r="AN321" s="32">
        <f t="shared" si="293"/>
        <v>1.01605936558262</v>
      </c>
      <c r="AO321" s="32">
        <f t="shared" si="294"/>
        <v>-0.178030058612947</v>
      </c>
      <c r="AP321" s="30" t="str">
        <f t="shared" si="295"/>
        <v>1,96332727122094-2,65118358059279i</v>
      </c>
      <c r="AQ321" s="32">
        <f t="shared" si="296"/>
        <v>10.3676572254868</v>
      </c>
      <c r="AR321" s="31">
        <f t="shared" si="297"/>
        <v>-53.4782958677418</v>
      </c>
      <c r="AS321" t="str">
        <f t="shared" si="273"/>
        <v>-0,0000504684572142411</v>
      </c>
      <c r="AT321" t="str">
        <f t="shared" si="274"/>
        <v>0,0151280496357484i</v>
      </c>
      <c r="AU321">
        <f t="shared" si="298"/>
        <v>0.0151280496357484</v>
      </c>
      <c r="AV321">
        <f t="shared" si="299"/>
        <v>1.5707963267949</v>
      </c>
      <c r="AW321" t="str">
        <f t="shared" si="275"/>
        <v>1+0,774528393758255i</v>
      </c>
      <c r="AX321">
        <f t="shared" si="300"/>
        <v>1.26486925519507</v>
      </c>
      <c r="AY321">
        <f t="shared" si="301"/>
        <v>0.659015362238896</v>
      </c>
      <c r="AZ321" t="str">
        <f t="shared" si="276"/>
        <v>1+37,0290489526552i</v>
      </c>
      <c r="BA321">
        <f t="shared" si="302"/>
        <v>37.0425494038698</v>
      </c>
      <c r="BB321">
        <f t="shared" si="303"/>
        <v>1.54379706460079</v>
      </c>
      <c r="BC321" s="30" t="str">
        <f t="shared" si="304"/>
        <v>-0,075597595353555+0,0618885689521256i</v>
      </c>
      <c r="BD321" s="32">
        <f t="shared" si="305"/>
        <v>-20.2021535916486</v>
      </c>
      <c r="BE321" s="31">
        <f t="shared" si="306"/>
        <v>140.694257335737</v>
      </c>
      <c r="BF321" s="30" t="str">
        <f t="shared" si="307"/>
        <v>0,0600407558021604+0,0508765464436862i</v>
      </c>
      <c r="BG321" s="68">
        <f t="shared" si="308"/>
        <v>-22.0807680713594</v>
      </c>
      <c r="BH321" s="31">
        <f t="shared" si="309"/>
        <v>40.2768359983216</v>
      </c>
      <c r="BI321" s="30" t="str">
        <f t="shared" si="316"/>
        <v>0,0156551372359002+0,321930618734189i</v>
      </c>
      <c r="BJ321" s="68">
        <f t="shared" si="310"/>
        <v>-9.83449636616178</v>
      </c>
      <c r="BK321" s="31">
        <f t="shared" si="317"/>
        <v>87.2159614679952</v>
      </c>
      <c r="BL321" s="32">
        <f t="shared" si="311"/>
        <v>-22.0807680713594</v>
      </c>
      <c r="BM321" s="31">
        <f t="shared" si="312"/>
        <v>40.2768359983216</v>
      </c>
      <c r="BO321">
        <f t="shared" si="313"/>
        <v>0</v>
      </c>
      <c r="BP321">
        <f t="shared" si="314"/>
        <v>0</v>
      </c>
    </row>
    <row r="322" spans="14:68">
      <c r="N322" s="7">
        <v>4</v>
      </c>
      <c r="O322" s="18">
        <f t="shared" si="318"/>
        <v>10964.7819614319</v>
      </c>
      <c r="P322" s="86" t="str">
        <f t="shared" si="265"/>
        <v>163,636363636364</v>
      </c>
      <c r="Q322" s="4" t="str">
        <f t="shared" si="266"/>
        <v>1+420,878224071689i</v>
      </c>
      <c r="R322" s="4">
        <f t="shared" si="277"/>
        <v>420.8794120621</v>
      </c>
      <c r="S322" s="4">
        <f t="shared" si="278"/>
        <v>1.56842034709092</v>
      </c>
      <c r="T322" s="4" t="str">
        <f t="shared" si="267"/>
        <v>1+1,08025410845067i</v>
      </c>
      <c r="U322" s="4">
        <f t="shared" si="279"/>
        <v>1.4720560243498</v>
      </c>
      <c r="V322" s="4">
        <f t="shared" si="280"/>
        <v>0.823958033820874</v>
      </c>
      <c r="W322" t="str">
        <f t="shared" si="268"/>
        <v>1-1,03340635374745i</v>
      </c>
      <c r="X322" s="4">
        <f t="shared" si="281"/>
        <v>1.43802944753075</v>
      </c>
      <c r="Y322" s="4">
        <f t="shared" si="282"/>
        <v>-0.801825449889582</v>
      </c>
      <c r="Z322" t="str">
        <f t="shared" si="269"/>
        <v>0,99901855964521+0,214062744704829i</v>
      </c>
      <c r="AA322" s="4">
        <f t="shared" si="283"/>
        <v>1.02169513123346</v>
      </c>
      <c r="AB322" s="4">
        <f t="shared" si="284"/>
        <v>0.21108121621162</v>
      </c>
      <c r="AC322" s="67" t="str">
        <f t="shared" si="285"/>
        <v>-0,149423327505536-0,791571069516309i</v>
      </c>
      <c r="AD322" s="68">
        <f t="shared" si="286"/>
        <v>-1.87814135083351</v>
      </c>
      <c r="AE322" s="31">
        <f t="shared" si="287"/>
        <v>-100.689825565186</v>
      </c>
      <c r="AF322" s="32" t="str">
        <f t="shared" si="288"/>
        <v>748,315388573934</v>
      </c>
      <c r="AG322" s="32" t="str">
        <f t="shared" si="270"/>
        <v>1+342,937812206562i</v>
      </c>
      <c r="AH322" s="32">
        <f t="shared" si="289"/>
        <v>342.939270193752</v>
      </c>
      <c r="AI322" s="32">
        <f t="shared" si="290"/>
        <v>1.56788035448124</v>
      </c>
      <c r="AJ322" s="32" t="str">
        <f t="shared" si="271"/>
        <v>1+1,08025410845067i</v>
      </c>
      <c r="AK322" s="32">
        <f t="shared" si="291"/>
        <v>1.4720560243498</v>
      </c>
      <c r="AL322" s="32">
        <f t="shared" si="292"/>
        <v>0.823958033820874</v>
      </c>
      <c r="AM322" s="32" t="str">
        <f t="shared" si="272"/>
        <v>1-0,184126310335156i</v>
      </c>
      <c r="AN322" s="32">
        <f t="shared" si="293"/>
        <v>1.01680996167309</v>
      </c>
      <c r="AO322" s="32">
        <f t="shared" si="294"/>
        <v>-0.182086857223978</v>
      </c>
      <c r="AP322" s="30" t="str">
        <f t="shared" si="295"/>
        <v>1,96302818709851-2,61037032466073i</v>
      </c>
      <c r="AQ322" s="32">
        <f t="shared" si="296"/>
        <v>10.2806317651999</v>
      </c>
      <c r="AR322" s="31">
        <f t="shared" si="297"/>
        <v>-53.056417683152</v>
      </c>
      <c r="AS322" t="str">
        <f t="shared" si="273"/>
        <v>-0,0000504684572142411</v>
      </c>
      <c r="AT322" t="str">
        <f t="shared" si="274"/>
        <v>0,0154804271791368i</v>
      </c>
      <c r="AU322">
        <f t="shared" si="298"/>
        <v>0.0154804271791368</v>
      </c>
      <c r="AV322">
        <f t="shared" si="299"/>
        <v>1.5707963267949</v>
      </c>
      <c r="AW322" t="str">
        <f t="shared" si="275"/>
        <v>1+0,792569477655292i</v>
      </c>
      <c r="AX322">
        <f t="shared" si="300"/>
        <v>1.27599622919144</v>
      </c>
      <c r="AY322">
        <f t="shared" si="301"/>
        <v>0.670193684950956</v>
      </c>
      <c r="AZ322" t="str">
        <f t="shared" si="276"/>
        <v>1+37,8915663040731i</v>
      </c>
      <c r="BA322">
        <f t="shared" si="302"/>
        <v>37.9047595557071</v>
      </c>
      <c r="BB322">
        <f t="shared" si="303"/>
        <v>1.54441135432858</v>
      </c>
      <c r="BC322" s="30" t="str">
        <f t="shared" si="304"/>
        <v>-0,0742848879145119+0,0621360811007017i</v>
      </c>
      <c r="BD322" s="32">
        <f t="shared" si="305"/>
        <v>-20.2783711359562</v>
      </c>
      <c r="BE322" s="31">
        <f t="shared" si="306"/>
        <v>140.088982831101</v>
      </c>
      <c r="BF322" s="30" t="str">
        <f t="shared" si="307"/>
        <v>0,0602850193079967+0,0495171881791686i</v>
      </c>
      <c r="BG322" s="68">
        <f t="shared" si="308"/>
        <v>-22.1565124867897</v>
      </c>
      <c r="BH322" s="31">
        <f t="shared" si="309"/>
        <v>39.3991572659154</v>
      </c>
      <c r="BI322" s="30" t="str">
        <f t="shared" si="316"/>
        <v>0,0163748533443438+0,315885945619307i</v>
      </c>
      <c r="BJ322" s="68">
        <f t="shared" si="310"/>
        <v>-9.9977393707563</v>
      </c>
      <c r="BK322" s="31">
        <f t="shared" si="317"/>
        <v>87.032565147949</v>
      </c>
      <c r="BL322" s="32">
        <f t="shared" si="311"/>
        <v>-22.1565124867897</v>
      </c>
      <c r="BM322" s="31">
        <f t="shared" si="312"/>
        <v>39.3991572659154</v>
      </c>
      <c r="BO322">
        <f t="shared" si="313"/>
        <v>0</v>
      </c>
      <c r="BP322">
        <f t="shared" si="314"/>
        <v>0</v>
      </c>
    </row>
    <row r="323" spans="14:68">
      <c r="N323" s="7">
        <v>5</v>
      </c>
      <c r="O323" s="18">
        <f t="shared" si="318"/>
        <v>11220.1845430196</v>
      </c>
      <c r="P323" s="86" t="str">
        <f t="shared" si="265"/>
        <v>163,636363636364</v>
      </c>
      <c r="Q323" s="4" t="str">
        <f t="shared" si="266"/>
        <v>1+430,681737296126i</v>
      </c>
      <c r="R323" s="4">
        <f t="shared" si="277"/>
        <v>430.682898244647</v>
      </c>
      <c r="S323" s="4">
        <f t="shared" si="278"/>
        <v>1.56847443079529</v>
      </c>
      <c r="T323" s="4" t="str">
        <f t="shared" si="267"/>
        <v>1+1,10541645906006i</v>
      </c>
      <c r="U323" s="4">
        <f t="shared" si="279"/>
        <v>1.49061918274282</v>
      </c>
      <c r="V323" s="4">
        <f t="shared" si="280"/>
        <v>0.835425558496071</v>
      </c>
      <c r="W323" t="str">
        <f t="shared" si="268"/>
        <v>1-1,05747747996817i</v>
      </c>
      <c r="X323" s="4">
        <f t="shared" si="281"/>
        <v>1.45542386287976</v>
      </c>
      <c r="Y323" s="4">
        <f t="shared" si="282"/>
        <v>-0.813326797096373</v>
      </c>
      <c r="Z323" t="str">
        <f t="shared" si="269"/>
        <v>0,99897230578629+0,219048906564834i</v>
      </c>
      <c r="AA323" s="4">
        <f t="shared" si="283"/>
        <v>1.02270625850985</v>
      </c>
      <c r="AB323" s="4">
        <f t="shared" si="284"/>
        <v>0.215857957607871</v>
      </c>
      <c r="AC323" s="67" t="str">
        <f t="shared" si="285"/>
        <v>-0,15335505681181-0,791262026049914i</v>
      </c>
      <c r="AD323" s="68">
        <f t="shared" si="286"/>
        <v>-1.87345047047553</v>
      </c>
      <c r="AE323" s="31">
        <f t="shared" si="287"/>
        <v>-100.96854934333</v>
      </c>
      <c r="AF323" s="32" t="str">
        <f t="shared" si="288"/>
        <v>748,315388573934</v>
      </c>
      <c r="AG323" s="32" t="str">
        <f t="shared" si="270"/>
        <v>1+350,925860019065i</v>
      </c>
      <c r="AH323" s="32">
        <f t="shared" si="289"/>
        <v>350.927284818551</v>
      </c>
      <c r="AI323" s="32">
        <f t="shared" si="290"/>
        <v>1.56794672975121</v>
      </c>
      <c r="AJ323" s="32" t="str">
        <f t="shared" si="271"/>
        <v>1+1,10541645906006i</v>
      </c>
      <c r="AK323" s="32">
        <f t="shared" si="291"/>
        <v>1.49061918274282</v>
      </c>
      <c r="AL323" s="32">
        <f t="shared" si="292"/>
        <v>0.835425558496071</v>
      </c>
      <c r="AM323" s="32" t="str">
        <f t="shared" si="272"/>
        <v>1-0,188415163060475i</v>
      </c>
      <c r="AN323" s="32">
        <f t="shared" si="293"/>
        <v>1.01759533886074</v>
      </c>
      <c r="AO323" s="32">
        <f t="shared" si="294"/>
        <v>-0.186231885290438</v>
      </c>
      <c r="AP323" s="30" t="str">
        <f t="shared" si="295"/>
        <v>1,96274256375524-2,57094104310294i</v>
      </c>
      <c r="AQ323" s="32">
        <f t="shared" si="296"/>
        <v>10.1961870986586</v>
      </c>
      <c r="AR323" s="31">
        <f t="shared" si="297"/>
        <v>-52.6406725548057</v>
      </c>
      <c r="AS323" t="str">
        <f t="shared" si="273"/>
        <v>-0,0000504684572142411</v>
      </c>
      <c r="AT323" t="str">
        <f t="shared" si="274"/>
        <v>0,0158410126499231i</v>
      </c>
      <c r="AU323">
        <f t="shared" si="298"/>
        <v>0.0158410126499231</v>
      </c>
      <c r="AV323">
        <f t="shared" si="299"/>
        <v>1.5707963267949</v>
      </c>
      <c r="AW323" t="str">
        <f t="shared" si="275"/>
        <v>1+0,811030792380272i</v>
      </c>
      <c r="AX323">
        <f t="shared" si="300"/>
        <v>1.28754454143885</v>
      </c>
      <c r="AY323">
        <f t="shared" si="301"/>
        <v>0.681430936773699</v>
      </c>
      <c r="AZ323" t="str">
        <f t="shared" si="276"/>
        <v>1+38,7741742654993i</v>
      </c>
      <c r="BA323">
        <f t="shared" si="302"/>
        <v>38.7870673030497</v>
      </c>
      <c r="BB323">
        <f t="shared" si="303"/>
        <v>1.54501168036159</v>
      </c>
      <c r="BC323" s="30" t="str">
        <f t="shared" si="304"/>
        <v>-0,0729583040968601+0,062357367481393i</v>
      </c>
      <c r="BD323" s="32">
        <f t="shared" si="305"/>
        <v>-20.3567646032053</v>
      </c>
      <c r="BE323" s="31">
        <f t="shared" si="306"/>
        <v>139.479531876355</v>
      </c>
      <c r="BF323" s="30" t="str">
        <f t="shared" si="307"/>
        <v>0,0605295418021333+0,0481663178841033i</v>
      </c>
      <c r="BG323" s="68">
        <f t="shared" si="308"/>
        <v>-22.2302150736809</v>
      </c>
      <c r="BH323" s="31">
        <f t="shared" si="309"/>
        <v>38.5109825330258</v>
      </c>
      <c r="BI323" s="30" t="str">
        <f t="shared" si="316"/>
        <v>0,0171187465674602+0,30996295775726i</v>
      </c>
      <c r="BJ323" s="68">
        <f t="shared" si="310"/>
        <v>-10.1605775045468</v>
      </c>
      <c r="BK323" s="31">
        <f t="shared" si="317"/>
        <v>86.8388593215496</v>
      </c>
      <c r="BL323" s="32">
        <f t="shared" si="311"/>
        <v>-22.2302150736809</v>
      </c>
      <c r="BM323" s="31">
        <f t="shared" si="312"/>
        <v>38.5109825330258</v>
      </c>
      <c r="BO323">
        <f t="shared" si="313"/>
        <v>0</v>
      </c>
      <c r="BP323">
        <f t="shared" si="314"/>
        <v>0</v>
      </c>
    </row>
    <row r="324" spans="14:68">
      <c r="N324" s="7">
        <v>6</v>
      </c>
      <c r="O324" s="18">
        <f t="shared" si="318"/>
        <v>11481.5362149688</v>
      </c>
      <c r="P324" s="86" t="str">
        <f t="shared" si="265"/>
        <v>163,636363636364</v>
      </c>
      <c r="Q324" s="4" t="str">
        <f t="shared" si="266"/>
        <v>1+440,713603678426i</v>
      </c>
      <c r="R324" s="4">
        <f t="shared" si="277"/>
        <v>440.714738200602</v>
      </c>
      <c r="S324" s="4">
        <f t="shared" si="278"/>
        <v>1.56852728341737</v>
      </c>
      <c r="T324" s="4" t="str">
        <f t="shared" si="267"/>
        <v>1+1,13116491610796i</v>
      </c>
      <c r="U324" s="4">
        <f t="shared" si="279"/>
        <v>1.5098125934809</v>
      </c>
      <c r="V324" s="4">
        <f t="shared" si="280"/>
        <v>0.84686674157216</v>
      </c>
      <c r="W324" t="str">
        <f t="shared" si="268"/>
        <v>1-1,08210929474614i</v>
      </c>
      <c r="X324" s="4">
        <f t="shared" si="281"/>
        <v>1.47341797388792</v>
      </c>
      <c r="Y324" s="4">
        <f t="shared" si="282"/>
        <v>-0.824813370858267</v>
      </c>
      <c r="Z324" t="str">
        <f t="shared" si="269"/>
        <v>0,998923872050158+0,224151211054556i</v>
      </c>
      <c r="AA324" s="4">
        <f t="shared" si="283"/>
        <v>1.0237639706343</v>
      </c>
      <c r="AB324" s="4">
        <f t="shared" si="284"/>
        <v>0.22073631729408</v>
      </c>
      <c r="AC324" s="67" t="str">
        <f t="shared" si="285"/>
        <v>-0,157451803131475-0,791297492782368i</v>
      </c>
      <c r="AD324" s="68">
        <f t="shared" si="286"/>
        <v>-1.86457177391477</v>
      </c>
      <c r="AE324" s="31">
        <f t="shared" si="287"/>
        <v>-101.253687691203</v>
      </c>
      <c r="AF324" s="32" t="str">
        <f t="shared" si="288"/>
        <v>748,315388573934</v>
      </c>
      <c r="AG324" s="32" t="str">
        <f t="shared" si="270"/>
        <v>1+359,099973367606i</v>
      </c>
      <c r="AH324" s="32">
        <f t="shared" si="289"/>
        <v>359.101365734823</v>
      </c>
      <c r="AI324" s="32">
        <f t="shared" si="290"/>
        <v>1.56801159415983</v>
      </c>
      <c r="AJ324" s="32" t="str">
        <f t="shared" si="271"/>
        <v>1+1,13116491610796i</v>
      </c>
      <c r="AK324" s="32">
        <f t="shared" si="291"/>
        <v>1.5098125934809</v>
      </c>
      <c r="AL324" s="32">
        <f t="shared" si="292"/>
        <v>0.84686674157216</v>
      </c>
      <c r="AM324" s="32" t="str">
        <f t="shared" si="272"/>
        <v>1-0,19280391599922i</v>
      </c>
      <c r="AN324" s="32">
        <f t="shared" si="293"/>
        <v>1.0184170805837</v>
      </c>
      <c r="AO324" s="32">
        <f t="shared" si="294"/>
        <v>-0.190466770548386</v>
      </c>
      <c r="AP324" s="30" t="str">
        <f t="shared" si="295"/>
        <v>1,96246979537594-2,53287483523347i</v>
      </c>
      <c r="AQ324" s="32">
        <f t="shared" si="296"/>
        <v>10.1143267507098</v>
      </c>
      <c r="AR324" s="31">
        <f t="shared" si="297"/>
        <v>-52.2314985607667</v>
      </c>
      <c r="AS324" t="str">
        <f t="shared" si="273"/>
        <v>-0,0000504684572142411</v>
      </c>
      <c r="AT324" t="str">
        <f t="shared" si="274"/>
        <v>0,0162099972352971i</v>
      </c>
      <c r="AU324">
        <f t="shared" si="298"/>
        <v>0.0162099972352971</v>
      </c>
      <c r="AV324">
        <f t="shared" si="299"/>
        <v>1.5707963267949</v>
      </c>
      <c r="AW324" t="str">
        <f t="shared" si="275"/>
        <v>1+0,829922126366639i</v>
      </c>
      <c r="AX324">
        <f t="shared" si="300"/>
        <v>1.29952712008366</v>
      </c>
      <c r="AY324">
        <f t="shared" si="301"/>
        <v>0.692721724547643</v>
      </c>
      <c r="AZ324" t="str">
        <f t="shared" si="276"/>
        <v>1+39,6773408073582i</v>
      </c>
      <c r="BA324">
        <f t="shared" si="302"/>
        <v>39.6899404577942</v>
      </c>
      <c r="BB324">
        <f t="shared" si="303"/>
        <v>1.54559835926882</v>
      </c>
      <c r="BC324" s="30" t="str">
        <f t="shared" si="304"/>
        <v>-0,0716190506198825+0,0625516503137854i</v>
      </c>
      <c r="BD324" s="32">
        <f t="shared" si="305"/>
        <v>-20.4373562368656</v>
      </c>
      <c r="BE324" s="31">
        <f t="shared" si="306"/>
        <v>138.866231614844</v>
      </c>
      <c r="BF324" s="30" t="str">
        <f t="shared" si="307"/>
        <v>0,0607735127213627+0,0468231050602115i</v>
      </c>
      <c r="BG324" s="68">
        <f t="shared" si="308"/>
        <v>-22.3019280107803</v>
      </c>
      <c r="BH324" s="31">
        <f t="shared" si="309"/>
        <v>37.6125439236411</v>
      </c>
      <c r="BI324" s="30" t="str">
        <f t="shared" si="316"/>
        <v>0,0178852773670909+0,304157815430134i</v>
      </c>
      <c r="BJ324" s="68">
        <f t="shared" si="310"/>
        <v>-10.3230294861558</v>
      </c>
      <c r="BK324" s="31">
        <f t="shared" si="317"/>
        <v>86.6347330540777</v>
      </c>
      <c r="BL324" s="32">
        <f t="shared" si="311"/>
        <v>-22.3019280107803</v>
      </c>
      <c r="BM324" s="31">
        <f t="shared" si="312"/>
        <v>37.6125439236411</v>
      </c>
      <c r="BO324">
        <f t="shared" si="313"/>
        <v>0</v>
      </c>
      <c r="BP324">
        <f t="shared" si="314"/>
        <v>0</v>
      </c>
    </row>
    <row r="325" spans="14:68">
      <c r="N325" s="7">
        <v>7</v>
      </c>
      <c r="O325" s="18">
        <f t="shared" si="318"/>
        <v>11748.9755493953</v>
      </c>
      <c r="P325" s="86" t="str">
        <f t="shared" si="265"/>
        <v>163,636363636364</v>
      </c>
      <c r="Q325" s="4" t="str">
        <f t="shared" si="266"/>
        <v>1+450,979142246932i</v>
      </c>
      <c r="R325" s="4">
        <f t="shared" si="277"/>
        <v>450.980250944294</v>
      </c>
      <c r="S325" s="4">
        <f t="shared" si="278"/>
        <v>1.56857893297914</v>
      </c>
      <c r="T325" s="4" t="str">
        <f t="shared" si="267"/>
        <v>1+1,15751313176712i</v>
      </c>
      <c r="U325" s="4">
        <f t="shared" si="279"/>
        <v>1.52965246059794</v>
      </c>
      <c r="V325" s="4">
        <f t="shared" si="280"/>
        <v>0.85827566900749</v>
      </c>
      <c r="W325" t="str">
        <f t="shared" si="268"/>
        <v>1-1,10731485819559i</v>
      </c>
      <c r="X325" s="4">
        <f t="shared" si="281"/>
        <v>1.49202754504758</v>
      </c>
      <c r="Y325" s="4">
        <f t="shared" si="282"/>
        <v>-0.83627913810828</v>
      </c>
      <c r="Z325" t="str">
        <f t="shared" si="269"/>
        <v>0,998873155702365+0,229372363483372i</v>
      </c>
      <c r="AA325" s="4">
        <f t="shared" si="283"/>
        <v>1.02487036366203</v>
      </c>
      <c r="AB325" s="4">
        <f t="shared" si="284"/>
        <v>0.2257180150169</v>
      </c>
      <c r="AC325" s="67" t="str">
        <f t="shared" si="285"/>
        <v>-0,161720040637737-0,791672620876297i</v>
      </c>
      <c r="AD325" s="68">
        <f t="shared" si="286"/>
        <v>-1.85154056314041</v>
      </c>
      <c r="AE325" s="31">
        <f t="shared" si="287"/>
        <v>-101.545333928924</v>
      </c>
      <c r="AF325" s="32" t="str">
        <f t="shared" si="288"/>
        <v>748,315388573934</v>
      </c>
      <c r="AG325" s="32" t="str">
        <f t="shared" si="270"/>
        <v>1+367,464486275278i</v>
      </c>
      <c r="AH325" s="32">
        <f t="shared" si="289"/>
        <v>367.465846948467</v>
      </c>
      <c r="AI325" s="32">
        <f t="shared" si="290"/>
        <v>1.5680749820969</v>
      </c>
      <c r="AJ325" s="32" t="str">
        <f t="shared" si="271"/>
        <v>1+1,15751313176712i</v>
      </c>
      <c r="AK325" s="32">
        <f t="shared" si="291"/>
        <v>1.52965246059794</v>
      </c>
      <c r="AL325" s="32">
        <f t="shared" si="292"/>
        <v>0.85827566900749</v>
      </c>
      <c r="AM325" s="32" t="str">
        <f t="shared" si="272"/>
        <v>1-0,197294896126289i</v>
      </c>
      <c r="AN325" s="32">
        <f t="shared" si="293"/>
        <v>1.01927683974349</v>
      </c>
      <c r="AO325" s="32">
        <f t="shared" si="294"/>
        <v>-0.194793150499469</v>
      </c>
      <c r="AP325" s="30" t="str">
        <f t="shared" si="295"/>
        <v>1,96220930340988-2,4961515227363i</v>
      </c>
      <c r="AQ325" s="32">
        <f t="shared" si="296"/>
        <v>10.0350524209864</v>
      </c>
      <c r="AR325" s="31">
        <f t="shared" si="297"/>
        <v>-51.8293303429844</v>
      </c>
      <c r="AS325" t="str">
        <f t="shared" si="273"/>
        <v>-0,0000504684572142411</v>
      </c>
      <c r="AT325" t="str">
        <f t="shared" si="274"/>
        <v>0,01658757657577i</v>
      </c>
      <c r="AU325">
        <f t="shared" si="298"/>
        <v>0.01658757657577</v>
      </c>
      <c r="AV325">
        <f t="shared" si="299"/>
        <v>1.5707963267949</v>
      </c>
      <c r="AW325" t="str">
        <f t="shared" si="275"/>
        <v>1+0,849253496049726i</v>
      </c>
      <c r="AX325">
        <f t="shared" si="300"/>
        <v>1.31195712603449</v>
      </c>
      <c r="AY325">
        <f t="shared" si="301"/>
        <v>0.704060520556142</v>
      </c>
      <c r="AZ325" t="str">
        <f t="shared" si="276"/>
        <v>1+40,6015448005049i</v>
      </c>
      <c r="BA325">
        <f t="shared" si="302"/>
        <v>40.6138577358444</v>
      </c>
      <c r="BB325">
        <f t="shared" si="303"/>
        <v>1.54617170049883</v>
      </c>
      <c r="BC325" s="30" t="str">
        <f t="shared" si="304"/>
        <v>-0,070268384453897+0,0627182167043154i</v>
      </c>
      <c r="BD325" s="32">
        <f t="shared" si="305"/>
        <v>-20.5201662299258</v>
      </c>
      <c r="BE325" s="31">
        <f t="shared" si="306"/>
        <v>138.249416491498</v>
      </c>
      <c r="BF325" s="30" t="str">
        <f t="shared" si="307"/>
        <v>0,0610161009844253+0,0454867635312116i</v>
      </c>
      <c r="BG325" s="68">
        <f t="shared" si="308"/>
        <v>-22.3717067930662</v>
      </c>
      <c r="BH325" s="31">
        <f t="shared" si="309"/>
        <v>36.7040825625746</v>
      </c>
      <c r="BI325" s="30" t="str">
        <f t="shared" si="316"/>
        <v>0,0186728944187632+0,298466803165299i</v>
      </c>
      <c r="BJ325" s="68">
        <f t="shared" si="310"/>
        <v>-10.4851138089394</v>
      </c>
      <c r="BK325" s="31">
        <f t="shared" si="317"/>
        <v>86.4200861485138</v>
      </c>
      <c r="BL325" s="32">
        <f t="shared" si="311"/>
        <v>-22.3717067930662</v>
      </c>
      <c r="BM325" s="31">
        <f t="shared" si="312"/>
        <v>36.7040825625746</v>
      </c>
      <c r="BO325">
        <f t="shared" si="313"/>
        <v>0</v>
      </c>
      <c r="BP325">
        <f t="shared" si="314"/>
        <v>0</v>
      </c>
    </row>
    <row r="326" spans="14:68">
      <c r="N326" s="7">
        <v>8</v>
      </c>
      <c r="O326" s="18">
        <f t="shared" si="318"/>
        <v>12022.6443461742</v>
      </c>
      <c r="P326" s="86" t="str">
        <f t="shared" si="265"/>
        <v>163,636363636364</v>
      </c>
      <c r="Q326" s="4" t="str">
        <f t="shared" si="266"/>
        <v>1+461,483795926074i</v>
      </c>
      <c r="R326" s="4">
        <f t="shared" si="277"/>
        <v>461.484879386463</v>
      </c>
      <c r="S326" s="4">
        <f t="shared" si="278"/>
        <v>1.56862940686478</v>
      </c>
      <c r="T326" s="4" t="str">
        <f t="shared" si="267"/>
        <v>1+1,18447507621026i</v>
      </c>
      <c r="U326" s="4">
        <f t="shared" si="279"/>
        <v>1.5501552200226</v>
      </c>
      <c r="V326" s="4">
        <f t="shared" si="280"/>
        <v>0.869646510655617</v>
      </c>
      <c r="W326" t="str">
        <f t="shared" si="268"/>
        <v>1-1,13310753463991i</v>
      </c>
      <c r="X326" s="4">
        <f t="shared" si="281"/>
        <v>1.51126856814325</v>
      </c>
      <c r="Y326" s="4">
        <f t="shared" si="282"/>
        <v>-0.847718120479643</v>
      </c>
      <c r="Z326" t="str">
        <f t="shared" si="269"/>
        <v>0,998820049166738+0,23471513217541i</v>
      </c>
      <c r="AA326" s="4">
        <f t="shared" si="283"/>
        <v>1.026027623356</v>
      </c>
      <c r="AB326" s="4">
        <f t="shared" si="284"/>
        <v>0.23080476919183</v>
      </c>
      <c r="AC326" s="67" t="str">
        <f t="shared" si="285"/>
        <v>-0,166166413967493-0,792382449329914i</v>
      </c>
      <c r="AD326" s="68">
        <f t="shared" si="286"/>
        <v>-1.83439744560982</v>
      </c>
      <c r="AE326" s="31">
        <f t="shared" si="287"/>
        <v>-101.843579591045</v>
      </c>
      <c r="AF326" s="32" t="str">
        <f t="shared" si="288"/>
        <v>748,315388573934</v>
      </c>
      <c r="AG326" s="32" t="str">
        <f t="shared" si="270"/>
        <v>1+376,023833717542i</v>
      </c>
      <c r="AH326" s="32">
        <f t="shared" si="289"/>
        <v>376.025163418138</v>
      </c>
      <c r="AI326" s="32">
        <f t="shared" si="290"/>
        <v>1.5681369271695</v>
      </c>
      <c r="AJ326" s="32" t="str">
        <f t="shared" si="271"/>
        <v>1+1,18447507621026i</v>
      </c>
      <c r="AK326" s="32">
        <f t="shared" si="291"/>
        <v>1.5501552200226</v>
      </c>
      <c r="AL326" s="32">
        <f t="shared" si="292"/>
        <v>0.869646510655617</v>
      </c>
      <c r="AM326" s="32" t="str">
        <f t="shared" si="272"/>
        <v>1-0,201890484618792i</v>
      </c>
      <c r="AN326" s="32">
        <f t="shared" si="293"/>
        <v>1.02017634151141</v>
      </c>
      <c r="AO326" s="32">
        <f t="shared" si="294"/>
        <v>-0.199212670901772</v>
      </c>
      <c r="AP326" s="30" t="str">
        <f t="shared" si="295"/>
        <v>1,96196053534386-2,46075163898987i</v>
      </c>
      <c r="AQ326" s="32">
        <f t="shared" si="296"/>
        <v>9.95836404913539</v>
      </c>
      <c r="AR326" s="31">
        <f t="shared" si="297"/>
        <v>-51.4345981647804</v>
      </c>
      <c r="AS326" t="str">
        <f t="shared" si="273"/>
        <v>-0,0000504684572142411</v>
      </c>
      <c r="AT326" t="str">
        <f t="shared" si="274"/>
        <v>0,0169739508689059i</v>
      </c>
      <c r="AU326">
        <f t="shared" si="298"/>
        <v>0.0169739508689059</v>
      </c>
      <c r="AV326">
        <f t="shared" si="299"/>
        <v>1.5707963267949</v>
      </c>
      <c r="AW326" t="str">
        <f t="shared" si="275"/>
        <v>1+0,869035151177622i</v>
      </c>
      <c r="AX326">
        <f t="shared" si="300"/>
        <v>1.32484795126924</v>
      </c>
      <c r="AY326">
        <f t="shared" si="301"/>
        <v>0.715441675100004</v>
      </c>
      <c r="AZ326" t="str">
        <f t="shared" si="276"/>
        <v>1+41,5472762701301i</v>
      </c>
      <c r="BA326">
        <f t="shared" si="302"/>
        <v>41.5593090109366</v>
      </c>
      <c r="BB326">
        <f t="shared" si="303"/>
        <v>1.54673200653612</v>
      </c>
      <c r="BC326" s="30" t="str">
        <f t="shared" si="304"/>
        <v>-0,0689076084614354+0,0628564226896748i</v>
      </c>
      <c r="BD326" s="32">
        <f t="shared" si="305"/>
        <v>-20.6052126459269</v>
      </c>
      <c r="BE326" s="31">
        <f t="shared" si="306"/>
        <v>137.629427541321</v>
      </c>
      <c r="BF326" s="30" t="str">
        <f t="shared" si="307"/>
        <v>0,0612564563600737+0,0441565532169707i</v>
      </c>
      <c r="BG326" s="68">
        <f t="shared" si="308"/>
        <v>-22.4396100915367</v>
      </c>
      <c r="BH326" s="31">
        <f t="shared" si="309"/>
        <v>35.785847950276</v>
      </c>
      <c r="BI326" s="30" t="str">
        <f t="shared" si="316"/>
        <v>0,0194800367683944+0,292886331170384i</v>
      </c>
      <c r="BJ326" s="68">
        <f t="shared" si="310"/>
        <v>-10.6468485967915</v>
      </c>
      <c r="BK326" s="31">
        <f t="shared" si="317"/>
        <v>86.1948293765405</v>
      </c>
      <c r="BL326" s="32">
        <f t="shared" si="311"/>
        <v>-22.4396100915367</v>
      </c>
      <c r="BM326" s="31">
        <f t="shared" si="312"/>
        <v>35.785847950276</v>
      </c>
      <c r="BO326">
        <f t="shared" si="313"/>
        <v>0</v>
      </c>
      <c r="BP326">
        <f t="shared" si="314"/>
        <v>0</v>
      </c>
    </row>
    <row r="327" spans="14:68">
      <c r="N327" s="7">
        <v>9</v>
      </c>
      <c r="O327" s="18">
        <f t="shared" si="318"/>
        <v>12302.6877081238</v>
      </c>
      <c r="P327" s="86" t="str">
        <f t="shared" si="265"/>
        <v>163,636363636364</v>
      </c>
      <c r="Q327" s="4" t="str">
        <f t="shared" si="266"/>
        <v>1+472,23313442227i</v>
      </c>
      <c r="R327" s="4">
        <f t="shared" si="277"/>
        <v>472.234193220145</v>
      </c>
      <c r="S327" s="4">
        <f t="shared" si="278"/>
        <v>1.56867873183518</v>
      </c>
      <c r="T327" s="4" t="str">
        <f t="shared" si="267"/>
        <v>1+1,21206504501716i</v>
      </c>
      <c r="U327" s="4">
        <f t="shared" si="279"/>
        <v>1.57133754278082</v>
      </c>
      <c r="V327" s="4">
        <f t="shared" si="280"/>
        <v>0.880973534696913</v>
      </c>
      <c r="W327" t="str">
        <f t="shared" si="268"/>
        <v>1-1,15950099969754i</v>
      </c>
      <c r="X327" s="4">
        <f t="shared" si="281"/>
        <v>1.53115726439174</v>
      </c>
      <c r="Y327" s="4">
        <f t="shared" si="282"/>
        <v>-0.859124409672729</v>
      </c>
      <c r="Z327" t="str">
        <f t="shared" si="269"/>
        <v>0,998764439797195+0,240182349937347i</v>
      </c>
      <c r="AA327" s="4">
        <f t="shared" si="283"/>
        <v>1.02723802861111</v>
      </c>
      <c r="AB327" s="4">
        <f t="shared" si="284"/>
        <v>0.23599829446029</v>
      </c>
      <c r="AC327" s="67" t="str">
        <f t="shared" si="285"/>
        <v>-0,170797736445792-0,793421887515021i</v>
      </c>
      <c r="AD327" s="68">
        <f t="shared" si="286"/>
        <v>-1.81318825401076</v>
      </c>
      <c r="AE327" s="31">
        <f t="shared" si="287"/>
        <v>-102.148514341011</v>
      </c>
      <c r="AF327" s="32" t="str">
        <f t="shared" si="288"/>
        <v>748,315388573934</v>
      </c>
      <c r="AG327" s="32" t="str">
        <f t="shared" si="270"/>
        <v>1+384,782553973701i</v>
      </c>
      <c r="AH327" s="32">
        <f t="shared" si="289"/>
        <v>384.78385340672</v>
      </c>
      <c r="AI327" s="32">
        <f t="shared" si="290"/>
        <v>1.56819746221981</v>
      </c>
      <c r="AJ327" s="32" t="str">
        <f t="shared" si="271"/>
        <v>1+1,21206504501716i</v>
      </c>
      <c r="AK327" s="32">
        <f t="shared" si="291"/>
        <v>1.57133754278082</v>
      </c>
      <c r="AL327" s="32">
        <f t="shared" si="292"/>
        <v>0.880973534696913</v>
      </c>
      <c r="AM327" s="32" t="str">
        <f t="shared" si="272"/>
        <v>1-0,206593118118574i</v>
      </c>
      <c r="AN327" s="32">
        <f t="shared" si="293"/>
        <v>1.02111738622646</v>
      </c>
      <c r="AO327" s="32">
        <f t="shared" si="294"/>
        <v>-0.203726984132008</v>
      </c>
      <c r="AP327" s="30" t="str">
        <f t="shared" si="295"/>
        <v>1,96172296353035-2,42665641876738i</v>
      </c>
      <c r="AQ327" s="32">
        <f t="shared" si="296"/>
        <v>9.88425988924588</v>
      </c>
      <c r="AR327" s="31">
        <f t="shared" si="297"/>
        <v>-51.0477269911591</v>
      </c>
      <c r="AS327" t="str">
        <f t="shared" si="273"/>
        <v>-0,0000504684572142411</v>
      </c>
      <c r="AT327" t="str">
        <f t="shared" si="274"/>
        <v>0,0173693249754691i</v>
      </c>
      <c r="AU327">
        <f t="shared" si="298"/>
        <v>0.0173693249754691</v>
      </c>
      <c r="AV327">
        <f t="shared" si="299"/>
        <v>1.5707963267949</v>
      </c>
      <c r="AW327" t="str">
        <f t="shared" si="275"/>
        <v>1+0,8892775802457i</v>
      </c>
      <c r="AX327">
        <f t="shared" si="300"/>
        <v>1.33821321721452</v>
      </c>
      <c r="AY327">
        <f t="shared" si="301"/>
        <v>0.726859429812753</v>
      </c>
      <c r="AZ327" t="str">
        <f t="shared" si="276"/>
        <v>1+42,5150366555763i</v>
      </c>
      <c r="BA327">
        <f t="shared" si="302"/>
        <v>42.5267955743787</v>
      </c>
      <c r="BB327">
        <f t="shared" si="303"/>
        <v>1.54727957305432</v>
      </c>
      <c r="BC327" s="30" t="str">
        <f t="shared" si="304"/>
        <v>-0,067538066654313+0,0629656969270023i</v>
      </c>
      <c r="BD327" s="32">
        <f t="shared" si="305"/>
        <v>-20.6925113474986</v>
      </c>
      <c r="BE327" s="31">
        <f t="shared" si="306"/>
        <v>137.00661163526</v>
      </c>
      <c r="BF327" s="30" t="str">
        <f t="shared" si="307"/>
        <v>0,0614937110130026+0,0428317818151166i</v>
      </c>
      <c r="BG327" s="68">
        <f t="shared" si="308"/>
        <v>-22.5056996015094</v>
      </c>
      <c r="BH327" s="31">
        <f t="shared" si="309"/>
        <v>34.8580972942491</v>
      </c>
      <c r="BI327" s="30" t="str">
        <f t="shared" si="316"/>
        <v>0,0203051363418624+0,287412936534221i</v>
      </c>
      <c r="BJ327" s="68">
        <f t="shared" si="310"/>
        <v>-10.8082514582527</v>
      </c>
      <c r="BK327" s="31">
        <f t="shared" si="317"/>
        <v>85.9588846441009</v>
      </c>
      <c r="BL327" s="32">
        <f t="shared" si="311"/>
        <v>-22.5056996015094</v>
      </c>
      <c r="BM327" s="31">
        <f t="shared" si="312"/>
        <v>34.8580972942491</v>
      </c>
      <c r="BO327">
        <f t="shared" si="313"/>
        <v>0</v>
      </c>
      <c r="BP327">
        <f t="shared" si="314"/>
        <v>0</v>
      </c>
    </row>
    <row r="328" spans="14:68">
      <c r="N328" s="7">
        <v>10</v>
      </c>
      <c r="O328" s="18">
        <f t="shared" si="318"/>
        <v>12589.2541179417</v>
      </c>
      <c r="P328" s="86" t="str">
        <f t="shared" si="265"/>
        <v>163,636363636364</v>
      </c>
      <c r="Q328" s="4" t="str">
        <f t="shared" si="266"/>
        <v>1+483,232857177085i</v>
      </c>
      <c r="R328" s="4">
        <f t="shared" si="277"/>
        <v>483.233891873831</v>
      </c>
      <c r="S328" s="4">
        <f t="shared" si="278"/>
        <v>1.56872693404214</v>
      </c>
      <c r="T328" s="4" t="str">
        <f t="shared" si="267"/>
        <v>1+1,24029766675452i</v>
      </c>
      <c r="U328" s="4">
        <f t="shared" si="279"/>
        <v>1.59321633878036</v>
      </c>
      <c r="V328" s="4">
        <f t="shared" si="280"/>
        <v>0.892251121458909</v>
      </c>
      <c r="W328" t="str">
        <f t="shared" si="268"/>
        <v>1-1,18650924753302i</v>
      </c>
      <c r="X328" s="4">
        <f t="shared" si="281"/>
        <v>1.55171008712368</v>
      </c>
      <c r="Y328" s="4">
        <f t="shared" si="282"/>
        <v>-0.870492182377827</v>
      </c>
      <c r="Z328" t="str">
        <f t="shared" si="269"/>
        <v>0,998706209638807+0,245776915560412i</v>
      </c>
      <c r="AA328" s="4">
        <f t="shared" si="283"/>
        <v>1.02850395497222</v>
      </c>
      <c r="AB328" s="4">
        <f t="shared" si="284"/>
        <v>0.241300299076143</v>
      </c>
      <c r="AC328" s="67" t="str">
        <f t="shared" si="285"/>
        <v>-0,175620987501584-0,79478569720469i</v>
      </c>
      <c r="AD328" s="68">
        <f t="shared" si="286"/>
        <v>-1.78796394780244</v>
      </c>
      <c r="AE328" s="31">
        <f t="shared" si="287"/>
        <v>-102.460225885391</v>
      </c>
      <c r="AF328" s="32" t="str">
        <f t="shared" si="288"/>
        <v>748,315388573934</v>
      </c>
      <c r="AG328" s="32" t="str">
        <f t="shared" si="270"/>
        <v>1+393,745291033181i</v>
      </c>
      <c r="AH328" s="32">
        <f t="shared" si="289"/>
        <v>393.74656088759</v>
      </c>
      <c r="AI328" s="32">
        <f t="shared" si="290"/>
        <v>1.56825661934256</v>
      </c>
      <c r="AJ328" s="32" t="str">
        <f t="shared" si="271"/>
        <v>1+1,24029766675452i</v>
      </c>
      <c r="AK328" s="32">
        <f t="shared" si="291"/>
        <v>1.59321633878036</v>
      </c>
      <c r="AL328" s="32">
        <f t="shared" si="292"/>
        <v>0.892251121458909</v>
      </c>
      <c r="AM328" s="32" t="str">
        <f t="shared" si="272"/>
        <v>1-0,211405290024168i</v>
      </c>
      <c r="AN328" s="32">
        <f t="shared" si="293"/>
        <v>1.02210185238566</v>
      </c>
      <c r="AO328" s="32">
        <f t="shared" si="294"/>
        <v>-0.208337747412665</v>
      </c>
      <c r="AP328" s="30" t="str">
        <f t="shared" si="295"/>
        <v>1,96149608406861-2,39384778830752i</v>
      </c>
      <c r="AQ328" s="32">
        <f t="shared" si="296"/>
        <v>9.81273659293789</v>
      </c>
      <c r="AR328" s="31">
        <f t="shared" si="297"/>
        <v>-50.6691355963812</v>
      </c>
      <c r="AS328" t="str">
        <f t="shared" si="273"/>
        <v>-0,0000504684572142411</v>
      </c>
      <c r="AT328" t="str">
        <f t="shared" si="274"/>
        <v>0,0177739085280447i</v>
      </c>
      <c r="AU328">
        <f t="shared" si="298"/>
        <v>0.0177739085280447</v>
      </c>
      <c r="AV328">
        <f t="shared" si="299"/>
        <v>1.5707963267949</v>
      </c>
      <c r="AW328" t="str">
        <f t="shared" si="275"/>
        <v>1+0,909991516057813i</v>
      </c>
      <c r="AX328">
        <f t="shared" si="300"/>
        <v>1.3520667732391</v>
      </c>
      <c r="AY328">
        <f t="shared" si="301"/>
        <v>0.738307931645276</v>
      </c>
      <c r="AZ328" t="str">
        <f t="shared" si="276"/>
        <v>1+43,5053390762107i</v>
      </c>
      <c r="BA328">
        <f t="shared" si="302"/>
        <v>43.5168304008468</v>
      </c>
      <c r="BB328">
        <f t="shared" si="303"/>
        <v>1.54781468906628</v>
      </c>
      <c r="BC328" s="30" t="str">
        <f t="shared" si="304"/>
        <v>-0,0661611391004212+0,0630455439894183i</v>
      </c>
      <c r="BD328" s="32">
        <f t="shared" si="305"/>
        <v>-20.7820759330084</v>
      </c>
      <c r="BE328" s="31">
        <f t="shared" si="306"/>
        <v>136.381320687544</v>
      </c>
      <c r="BF328" s="30" t="str">
        <f t="shared" si="307"/>
        <v>0,0617269812183244+0,0415118063747885i</v>
      </c>
      <c r="BG328" s="68">
        <f t="shared" si="308"/>
        <v>-22.5700398808109</v>
      </c>
      <c r="BH328" s="31">
        <f t="shared" si="309"/>
        <v>33.9210948021532</v>
      </c>
      <c r="BI328" s="30" t="str">
        <f t="shared" si="316"/>
        <v>0,0211466207787187+0,282043284160669i</v>
      </c>
      <c r="BJ328" s="68">
        <f t="shared" si="310"/>
        <v>-10.9693393400705</v>
      </c>
      <c r="BK328" s="31">
        <f t="shared" si="317"/>
        <v>85.7121850911632</v>
      </c>
      <c r="BL328" s="32">
        <f t="shared" si="311"/>
        <v>-22.5700398808109</v>
      </c>
      <c r="BM328" s="31">
        <f t="shared" si="312"/>
        <v>33.9210948021532</v>
      </c>
      <c r="BO328">
        <f t="shared" si="313"/>
        <v>0</v>
      </c>
      <c r="BP328">
        <f t="shared" si="314"/>
        <v>0</v>
      </c>
    </row>
    <row r="329" spans="14:68">
      <c r="N329" s="7">
        <v>11</v>
      </c>
      <c r="O329" s="18">
        <f t="shared" si="318"/>
        <v>12882.4955169314</v>
      </c>
      <c r="P329" s="86" t="str">
        <f t="shared" si="265"/>
        <v>163,636363636364</v>
      </c>
      <c r="Q329" s="4" t="str">
        <f t="shared" si="266"/>
        <v>1+494,48879638912i</v>
      </c>
      <c r="R329" s="4">
        <f t="shared" si="277"/>
        <v>494.489807533341</v>
      </c>
      <c r="S329" s="4">
        <f t="shared" si="278"/>
        <v>1.5687740390422</v>
      </c>
      <c r="T329" s="4" t="str">
        <f t="shared" si="267"/>
        <v>1+1,26918791073207i</v>
      </c>
      <c r="U329" s="4">
        <f t="shared" si="279"/>
        <v>1.61580876119312</v>
      </c>
      <c r="V329" s="4">
        <f t="shared" si="280"/>
        <v>0.903473776548129</v>
      </c>
      <c r="W329" t="str">
        <f t="shared" si="268"/>
        <v>1-1,21414659827686i</v>
      </c>
      <c r="X329" s="4">
        <f t="shared" si="281"/>
        <v>1.57294372502873</v>
      </c>
      <c r="Y329" s="4">
        <f t="shared" si="282"/>
        <v>-0.881815714664038</v>
      </c>
      <c r="Z329" t="str">
        <f t="shared" si="269"/>
        <v>0,998645235177602+0,251501795357349i</v>
      </c>
      <c r="AA329" s="4">
        <f t="shared" si="283"/>
        <v>1.02982787824515</v>
      </c>
      <c r="AB329" s="4">
        <f t="shared" si="284"/>
        <v>0.246712482115428</v>
      </c>
      <c r="AC329" s="67" t="str">
        <f t="shared" si="285"/>
        <v>-0,180643309202264-0,796468474106582i</v>
      </c>
      <c r="AD329" s="68">
        <f t="shared" si="286"/>
        <v>-1.75878049744899</v>
      </c>
      <c r="AE329" s="31">
        <f t="shared" si="287"/>
        <v>-102.778799886829</v>
      </c>
      <c r="AF329" s="32" t="str">
        <f t="shared" si="288"/>
        <v>748,315388573934</v>
      </c>
      <c r="AG329" s="32" t="str">
        <f t="shared" si="270"/>
        <v>1+402,916797057801i</v>
      </c>
      <c r="AH329" s="32">
        <f t="shared" si="289"/>
        <v>402.918038006884</v>
      </c>
      <c r="AI329" s="32">
        <f t="shared" si="290"/>
        <v>1.56831442990196</v>
      </c>
      <c r="AJ329" s="32" t="str">
        <f t="shared" si="271"/>
        <v>1+1,26918791073207i</v>
      </c>
      <c r="AK329" s="32">
        <f t="shared" si="291"/>
        <v>1.61580876119312</v>
      </c>
      <c r="AL329" s="32">
        <f t="shared" si="292"/>
        <v>0.903473776548129</v>
      </c>
      <c r="AM329" s="32" t="str">
        <f t="shared" si="272"/>
        <v>1-0,216329551812812i</v>
      </c>
      <c r="AN329" s="32">
        <f t="shared" si="293"/>
        <v>1.02313169972762</v>
      </c>
      <c r="AO329" s="32">
        <f t="shared" si="294"/>
        <v>-0.213046620897554</v>
      </c>
      <c r="AP329" s="30" t="str">
        <f t="shared" si="295"/>
        <v>1,96127941573596-2,36230835575058i</v>
      </c>
      <c r="AQ329" s="32">
        <f t="shared" si="296"/>
        <v>9.74378930050033</v>
      </c>
      <c r="AR329" s="31">
        <f t="shared" si="297"/>
        <v>-50.2992357028485</v>
      </c>
      <c r="AS329" t="str">
        <f t="shared" si="273"/>
        <v>-0,0000504684572142411</v>
      </c>
      <c r="AT329" t="str">
        <f t="shared" si="274"/>
        <v>0,0181879160421873i</v>
      </c>
      <c r="AU329">
        <f t="shared" si="298"/>
        <v>0.0181879160421873</v>
      </c>
      <c r="AV329">
        <f t="shared" si="299"/>
        <v>1.5707963267949</v>
      </c>
      <c r="AW329" t="str">
        <f t="shared" si="275"/>
        <v>1+0,931187941416903i</v>
      </c>
      <c r="AX329">
        <f t="shared" si="300"/>
        <v>1.36642269530342</v>
      </c>
      <c r="AY329">
        <f t="shared" si="301"/>
        <v>0.749781247440876</v>
      </c>
      <c r="AZ329" t="str">
        <f t="shared" si="276"/>
        <v>1+44,5187086034846i</v>
      </c>
      <c r="BA329">
        <f t="shared" si="302"/>
        <v>44.5299384203703</v>
      </c>
      <c r="BB329">
        <f t="shared" si="303"/>
        <v>1.54833763707106</v>
      </c>
      <c r="BC329" s="30" t="str">
        <f t="shared" si="304"/>
        <v>-0,0647782365191136+0,0630955472291954i</v>
      </c>
      <c r="BD329" s="32">
        <f t="shared" si="305"/>
        <v>-20.8739176818725</v>
      </c>
      <c r="BE329" s="31">
        <f t="shared" si="306"/>
        <v>135.753910829014</v>
      </c>
      <c r="BF329" s="30" t="str">
        <f t="shared" si="307"/>
        <v>0,0619553692336567+0,0401960347482841i</v>
      </c>
      <c r="BG329" s="68">
        <f t="shared" si="308"/>
        <v>-22.6326981793215</v>
      </c>
      <c r="BH329" s="31">
        <f t="shared" si="309"/>
        <v>32.9751109421855</v>
      </c>
      <c r="BI329" s="30" t="str">
        <f t="shared" si="316"/>
        <v>0,0220029165575707+0,276774167405106i</v>
      </c>
      <c r="BJ329" s="68">
        <f t="shared" si="310"/>
        <v>-11.1301283813722</v>
      </c>
      <c r="BK329" s="31">
        <f t="shared" si="317"/>
        <v>85.4546751261658</v>
      </c>
      <c r="BL329" s="32">
        <f t="shared" si="311"/>
        <v>-22.6326981793215</v>
      </c>
      <c r="BM329" s="31">
        <f t="shared" si="312"/>
        <v>32.9751109421855</v>
      </c>
      <c r="BO329">
        <f t="shared" si="313"/>
        <v>0</v>
      </c>
      <c r="BP329">
        <f t="shared" si="314"/>
        <v>0</v>
      </c>
    </row>
    <row r="330" spans="14:68">
      <c r="N330" s="7">
        <v>12</v>
      </c>
      <c r="O330" s="18">
        <f t="shared" si="318"/>
        <v>13182.5673855641</v>
      </c>
      <c r="P330" s="86" t="str">
        <f t="shared" si="265"/>
        <v>163,636363636364</v>
      </c>
      <c r="Q330" s="4" t="str">
        <f t="shared" si="266"/>
        <v>1+506,006920106329i</v>
      </c>
      <c r="R330" s="4">
        <f t="shared" si="277"/>
        <v>506.007908234143</v>
      </c>
      <c r="S330" s="4">
        <f t="shared" si="278"/>
        <v>1.56882007181023</v>
      </c>
      <c r="T330" s="4" t="str">
        <f t="shared" si="267"/>
        <v>1+1,29875109493958i</v>
      </c>
      <c r="U330" s="4">
        <f t="shared" si="279"/>
        <v>1.63913221144811</v>
      </c>
      <c r="V330" s="4">
        <f t="shared" si="280"/>
        <v>0.914636143224373</v>
      </c>
      <c r="W330" t="str">
        <f t="shared" si="268"/>
        <v>1-1,24242770561822i</v>
      </c>
      <c r="X330" s="4">
        <f t="shared" si="281"/>
        <v>1.59487510598409</v>
      </c>
      <c r="Y330" s="4">
        <f t="shared" si="282"/>
        <v>-0.893089395750797</v>
      </c>
      <c r="Z330" t="str">
        <f t="shared" si="269"/>
        <v>0,998581387078572+0,257360024735202i</v>
      </c>
      <c r="AA330" s="4">
        <f t="shared" si="283"/>
        <v>1.03121237819931</v>
      </c>
      <c r="AB330" s="4">
        <f t="shared" si="284"/>
        <v>0.252236530503401</v>
      </c>
      <c r="AC330" s="67" t="str">
        <f t="shared" si="285"/>
        <v>-0,185872001831161-0,798464628923904i</v>
      </c>
      <c r="AD330" s="68">
        <f t="shared" si="286"/>
        <v>-1.72569875238138</v>
      </c>
      <c r="AE330" s="31">
        <f t="shared" si="287"/>
        <v>-103.104319874534</v>
      </c>
      <c r="AF330" s="32" t="str">
        <f t="shared" si="288"/>
        <v>748,315388573934</v>
      </c>
      <c r="AG330" s="32" t="str">
        <f t="shared" si="270"/>
        <v>1+412,301934901453i</v>
      </c>
      <c r="AH330" s="32">
        <f t="shared" si="289"/>
        <v>412.303147603171</v>
      </c>
      <c r="AI330" s="32">
        <f t="shared" si="290"/>
        <v>1.56837092454841</v>
      </c>
      <c r="AJ330" s="32" t="str">
        <f t="shared" si="271"/>
        <v>1+1,29875109493958i</v>
      </c>
      <c r="AK330" s="32">
        <f t="shared" si="291"/>
        <v>1.63913221144811</v>
      </c>
      <c r="AL330" s="32">
        <f t="shared" si="292"/>
        <v>0.914636143224373</v>
      </c>
      <c r="AM330" s="32" t="str">
        <f t="shared" si="272"/>
        <v>1-0,221368514393286i</v>
      </c>
      <c r="AN330" s="32">
        <f t="shared" si="293"/>
        <v>1.02420897240978</v>
      </c>
      <c r="AO330" s="32">
        <f t="shared" si="294"/>
        <v>-0.217855265609274</v>
      </c>
      <c r="AP330" s="30" t="str">
        <f t="shared" si="295"/>
        <v>1,96107249896724-2,33202140193474i</v>
      </c>
      <c r="AQ330" s="32">
        <f t="shared" si="296"/>
        <v>9.67741173940419</v>
      </c>
      <c r="AR330" s="31">
        <f t="shared" si="297"/>
        <v>-49.9384311548882</v>
      </c>
      <c r="AS330" t="str">
        <f t="shared" si="273"/>
        <v>-0,0000504684572142411</v>
      </c>
      <c r="AT330" t="str">
        <f t="shared" si="274"/>
        <v>0,0186115670301609i</v>
      </c>
      <c r="AU330">
        <f t="shared" si="298"/>
        <v>0.0186115670301609</v>
      </c>
      <c r="AV330">
        <f t="shared" si="299"/>
        <v>1.5707963267949</v>
      </c>
      <c r="AW330" t="str">
        <f t="shared" si="275"/>
        <v>1+0,952878094948255i</v>
      </c>
      <c r="AX330">
        <f t="shared" si="300"/>
        <v>1.38129528480778</v>
      </c>
      <c r="AY330">
        <f t="shared" si="301"/>
        <v>0.761273379015208</v>
      </c>
      <c r="AZ330" t="str">
        <f t="shared" si="276"/>
        <v>1+45,5556825393346i</v>
      </c>
      <c r="BA330">
        <f t="shared" si="302"/>
        <v>45.5666567966604</v>
      </c>
      <c r="BB330">
        <f t="shared" si="303"/>
        <v>1.54884869319785</v>
      </c>
      <c r="BC330" s="30" t="str">
        <f t="shared" si="304"/>
        <v>-0,0633907946086024+0,0631153711752658i</v>
      </c>
      <c r="BD330" s="32">
        <f t="shared" si="305"/>
        <v>-20.9680455090092</v>
      </c>
      <c r="BE330" s="31">
        <f t="shared" si="306"/>
        <v>135.124741551355</v>
      </c>
      <c r="BF330" s="30" t="str">
        <f t="shared" si="307"/>
        <v>0,062177965316422+0,0388839269076857i</v>
      </c>
      <c r="BG330" s="68">
        <f t="shared" si="308"/>
        <v>-22.6937442613905</v>
      </c>
      <c r="BH330" s="31">
        <f t="shared" si="309"/>
        <v>32.0204216768212</v>
      </c>
      <c r="BI330" s="30" t="str">
        <f t="shared" si="316"/>
        <v>0,0228724523771639+0,271602508386834i</v>
      </c>
      <c r="BJ330" s="68">
        <f t="shared" si="310"/>
        <v>-11.290633769605</v>
      </c>
      <c r="BK330" s="31">
        <f t="shared" si="317"/>
        <v>85.1863103964672</v>
      </c>
      <c r="BL330" s="32">
        <f t="shared" si="311"/>
        <v>-22.6937442613905</v>
      </c>
      <c r="BM330" s="31">
        <f t="shared" si="312"/>
        <v>32.0204216768212</v>
      </c>
      <c r="BO330">
        <f t="shared" si="313"/>
        <v>0</v>
      </c>
      <c r="BP330">
        <f t="shared" si="314"/>
        <v>0</v>
      </c>
    </row>
    <row r="331" spans="14:68">
      <c r="N331" s="7">
        <v>13</v>
      </c>
      <c r="O331" s="18">
        <f t="shared" si="318"/>
        <v>13489.6288259166</v>
      </c>
      <c r="P331" s="86" t="str">
        <f t="shared" si="265"/>
        <v>163,636363636364</v>
      </c>
      <c r="Q331" s="4" t="str">
        <f t="shared" si="266"/>
        <v>1+517,793335390375i</v>
      </c>
      <c r="R331" s="4">
        <f t="shared" si="277"/>
        <v>517.794301025696</v>
      </c>
      <c r="S331" s="4">
        <f t="shared" si="278"/>
        <v>1.56886505675262</v>
      </c>
      <c r="T331" s="4" t="str">
        <f t="shared" si="267"/>
        <v>1+1,32900289416863i</v>
      </c>
      <c r="U331" s="4">
        <f t="shared" si="279"/>
        <v>1.66320434484419</v>
      </c>
      <c r="V331" s="4">
        <f t="shared" si="280"/>
        <v>0.925733013956323</v>
      </c>
      <c r="W331" t="str">
        <f t="shared" si="268"/>
        <v>1-1,27136756457458i</v>
      </c>
      <c r="X331" s="4">
        <f t="shared" si="281"/>
        <v>1.617521401482</v>
      </c>
      <c r="Y331" s="4">
        <f t="shared" si="282"/>
        <v>-0.904307741085641</v>
      </c>
      <c r="Z331" t="str">
        <f t="shared" si="269"/>
        <v>0,998514529911339+0,263354709804735i</v>
      </c>
      <c r="AA331" s="4">
        <f t="shared" si="283"/>
        <v>1.03266014236069</v>
      </c>
      <c r="AB331" s="4">
        <f t="shared" si="284"/>
        <v>0.257874115853175</v>
      </c>
      <c r="AC331" s="67" t="str">
        <f t="shared" si="285"/>
        <v>-0,191314518429595-0,800768367972386i</v>
      </c>
      <c r="AD331" s="68">
        <f t="shared" si="286"/>
        <v>-1.68878429383142</v>
      </c>
      <c r="AE331" s="31">
        <f t="shared" si="287"/>
        <v>-103.436867151126</v>
      </c>
      <c r="AF331" s="32" t="str">
        <f t="shared" si="288"/>
        <v>748,315388573934</v>
      </c>
      <c r="AG331" s="32" t="str">
        <f t="shared" si="270"/>
        <v>1+421,905680688454i</v>
      </c>
      <c r="AH331" s="32">
        <f t="shared" si="289"/>
        <v>421.906865785789</v>
      </c>
      <c r="AI331" s="32">
        <f t="shared" si="290"/>
        <v>1.56842613323466</v>
      </c>
      <c r="AJ331" s="32" t="str">
        <f t="shared" si="271"/>
        <v>1+1,32900289416863i</v>
      </c>
      <c r="AK331" s="32">
        <f t="shared" si="291"/>
        <v>1.66320434484419</v>
      </c>
      <c r="AL331" s="32">
        <f t="shared" si="292"/>
        <v>0.925733013956323</v>
      </c>
      <c r="AM331" s="32" t="str">
        <f t="shared" si="272"/>
        <v>1-0,226524849490251i</v>
      </c>
      <c r="AN331" s="32">
        <f t="shared" si="293"/>
        <v>1.02533580227971</v>
      </c>
      <c r="AO331" s="32">
        <f t="shared" si="294"/>
        <v>-0.222765341222003</v>
      </c>
      <c r="AP331" s="30" t="str">
        <f t="shared" si="295"/>
        <v>1,96087489488008-2,30297087154781i</v>
      </c>
      <c r="AQ331" s="32">
        <f t="shared" si="296"/>
        <v>9.61359632946125</v>
      </c>
      <c r="AR331" s="31">
        <f t="shared" si="297"/>
        <v>-49.5871171305593</v>
      </c>
      <c r="AS331" t="str">
        <f t="shared" si="273"/>
        <v>-0,0000504684572142411</v>
      </c>
      <c r="AT331" t="str">
        <f t="shared" si="274"/>
        <v>0,0190450861173272i</v>
      </c>
      <c r="AU331">
        <f t="shared" si="298"/>
        <v>0.0190450861173272</v>
      </c>
      <c r="AV331">
        <f t="shared" si="299"/>
        <v>1.5707963267949</v>
      </c>
      <c r="AW331" t="str">
        <f t="shared" si="275"/>
        <v>1+0,975073477058387i</v>
      </c>
      <c r="AX331">
        <f t="shared" si="300"/>
        <v>1.39669906768163</v>
      </c>
      <c r="AY331">
        <f t="shared" si="301"/>
        <v>0.772778278649524</v>
      </c>
      <c r="AZ331" t="str">
        <f t="shared" si="276"/>
        <v>1+46,6168107010679i</v>
      </c>
      <c r="BA331">
        <f t="shared" si="302"/>
        <v>46.6275352119239</v>
      </c>
      <c r="BB331">
        <f t="shared" si="303"/>
        <v>1.54934812734695</v>
      </c>
      <c r="BC331" s="30" t="str">
        <f t="shared" si="304"/>
        <v>-0,0620002681527627+0,063104763436812i</v>
      </c>
      <c r="BD331" s="32">
        <f t="shared" si="305"/>
        <v>-21.0644659288406</v>
      </c>
      <c r="BE331" s="31">
        <f t="shared" si="306"/>
        <v>134.494174827475</v>
      </c>
      <c r="BF331" s="30" t="str">
        <f t="shared" si="307"/>
        <v>0,062393849872731+0,0375749961150109i</v>
      </c>
      <c r="BG331" s="68">
        <f t="shared" si="308"/>
        <v>-22.753250222672</v>
      </c>
      <c r="BH331" s="31">
        <f t="shared" si="309"/>
        <v>31.0573076763497</v>
      </c>
      <c r="BI331" s="30" t="str">
        <f t="shared" si="316"/>
        <v>0,023753662754308+0,266525357954557i</v>
      </c>
      <c r="BJ331" s="68">
        <f t="shared" si="310"/>
        <v>-11.4508695993793</v>
      </c>
      <c r="BK331" s="31">
        <f t="shared" si="317"/>
        <v>84.907057696916</v>
      </c>
      <c r="BL331" s="32">
        <f t="shared" si="311"/>
        <v>-22.753250222672</v>
      </c>
      <c r="BM331" s="31">
        <f t="shared" si="312"/>
        <v>31.0573076763497</v>
      </c>
      <c r="BO331">
        <f t="shared" si="313"/>
        <v>0</v>
      </c>
      <c r="BP331">
        <f t="shared" si="314"/>
        <v>0</v>
      </c>
    </row>
    <row r="332" spans="14:68">
      <c r="N332" s="7">
        <v>14</v>
      </c>
      <c r="O332" s="18">
        <f t="shared" si="318"/>
        <v>13803.8426460288</v>
      </c>
      <c r="P332" s="86" t="str">
        <f t="shared" si="265"/>
        <v>163,636363636364</v>
      </c>
      <c r="Q332" s="4" t="str">
        <f t="shared" si="266"/>
        <v>1+529,854291554645i</v>
      </c>
      <c r="R332" s="4">
        <f t="shared" si="277"/>
        <v>529.855235209462</v>
      </c>
      <c r="S332" s="4">
        <f t="shared" si="278"/>
        <v>1.56890901772026</v>
      </c>
      <c r="T332" s="4" t="str">
        <f t="shared" si="267"/>
        <v>1+1,35995934832359i</v>
      </c>
      <c r="U332" s="4">
        <f t="shared" si="279"/>
        <v>1.68804307678824</v>
      </c>
      <c r="V332" s="4">
        <f t="shared" si="280"/>
        <v>0.936759341106375</v>
      </c>
      <c r="W332" t="str">
        <f t="shared" si="268"/>
        <v>1-1,30098151944221i</v>
      </c>
      <c r="X332" s="4">
        <f t="shared" si="281"/>
        <v>1.64090003166865</v>
      </c>
      <c r="Y332" s="4">
        <f t="shared" si="282"/>
        <v>-0.915465404659409</v>
      </c>
      <c r="Z332" t="str">
        <f t="shared" si="269"/>
        <v>0,998444521862887+0,269489029027314i</v>
      </c>
      <c r="AA332" s="4">
        <f t="shared" si="283"/>
        <v>1.03417396989293</v>
      </c>
      <c r="AB332" s="4">
        <f t="shared" si="284"/>
        <v>0.263626891110657</v>
      </c>
      <c r="AC332" s="67" t="str">
        <f t="shared" si="285"/>
        <v>-0,196978458222142-0,80337367338884i</v>
      </c>
      <c r="AD332" s="68">
        <f t="shared" si="286"/>
        <v>-1.64810727377109</v>
      </c>
      <c r="AE332" s="31">
        <f t="shared" si="287"/>
        <v>-103.776520694551</v>
      </c>
      <c r="AF332" s="32" t="str">
        <f t="shared" si="288"/>
        <v>748,315388573934</v>
      </c>
      <c r="AG332" s="32" t="str">
        <f t="shared" si="270"/>
        <v>1+431,733126451933i</v>
      </c>
      <c r="AH332" s="32">
        <f t="shared" si="289"/>
        <v>431.734284573232</v>
      </c>
      <c r="AI332" s="32">
        <f t="shared" si="290"/>
        <v>1.56848008523175</v>
      </c>
      <c r="AJ332" s="32" t="str">
        <f t="shared" si="271"/>
        <v>1+1,35995934832359i</v>
      </c>
      <c r="AK332" s="32">
        <f t="shared" si="291"/>
        <v>1.68804307678824</v>
      </c>
      <c r="AL332" s="32">
        <f t="shared" si="292"/>
        <v>0.936759341106375</v>
      </c>
      <c r="AM332" s="32" t="str">
        <f t="shared" si="272"/>
        <v>1-0,231801291060825i</v>
      </c>
      <c r="AN332" s="32">
        <f t="shared" si="293"/>
        <v>1.0265144122405</v>
      </c>
      <c r="AO332" s="32">
        <f t="shared" si="294"/>
        <v>-0.22777850368309</v>
      </c>
      <c r="AP332" s="30" t="str">
        <f t="shared" si="295"/>
        <v>1,96068618434419-2,27514136463005i</v>
      </c>
      <c r="AQ332" s="32">
        <f t="shared" si="296"/>
        <v>9.55233429385418</v>
      </c>
      <c r="AR332" s="31">
        <f t="shared" si="297"/>
        <v>-49.2456793940941</v>
      </c>
      <c r="AS332" t="str">
        <f t="shared" si="273"/>
        <v>-0,0000504684572142411</v>
      </c>
      <c r="AT332" t="str">
        <f t="shared" si="274"/>
        <v>0,0194887031612443i</v>
      </c>
      <c r="AU332">
        <f t="shared" si="298"/>
        <v>0.0194887031612443</v>
      </c>
      <c r="AV332">
        <f t="shared" si="299"/>
        <v>1.5707963267949</v>
      </c>
      <c r="AW332" t="str">
        <f t="shared" si="275"/>
        <v>1+0,997785856032667i</v>
      </c>
      <c r="AX332">
        <f t="shared" si="300"/>
        <v>1.41264879375549</v>
      </c>
      <c r="AY332">
        <f t="shared" si="301"/>
        <v>0.784289864900848</v>
      </c>
      <c r="AZ332" t="str">
        <f t="shared" si="276"/>
        <v>1+47,7026557128809i</v>
      </c>
      <c r="BA332">
        <f t="shared" si="302"/>
        <v>47.7131361583123</v>
      </c>
      <c r="BB332">
        <f t="shared" si="303"/>
        <v>1.54983620332776</v>
      </c>
      <c r="BC332" s="30" t="str">
        <f t="shared" si="304"/>
        <v>-0,060608124958093+0,0630635560902241i</v>
      </c>
      <c r="BD332" s="32">
        <f t="shared" si="305"/>
        <v>-21.1631830291654</v>
      </c>
      <c r="BE332" s="31">
        <f t="shared" si="306"/>
        <v>133.862574213556</v>
      </c>
      <c r="BF332" s="30" t="str">
        <f t="shared" si="307"/>
        <v>0,0626020957231466+0,0362688099361351i</v>
      </c>
      <c r="BG332" s="68">
        <f t="shared" si="308"/>
        <v>-22.8112903029365</v>
      </c>
      <c r="BH332" s="31">
        <f t="shared" si="309"/>
        <v>30.0860535190051</v>
      </c>
      <c r="BI332" s="30" t="str">
        <f t="shared" si="316"/>
        <v>0,0246449917971969+0,261539895286542i</v>
      </c>
      <c r="BJ332" s="68">
        <f t="shared" si="310"/>
        <v>-11.6108487353112</v>
      </c>
      <c r="BK332" s="31">
        <f t="shared" si="317"/>
        <v>84.616894819462</v>
      </c>
      <c r="BL332" s="32">
        <f t="shared" si="311"/>
        <v>-22.8112903029365</v>
      </c>
      <c r="BM332" s="31">
        <f t="shared" si="312"/>
        <v>30.0860535190051</v>
      </c>
      <c r="BO332">
        <f t="shared" si="313"/>
        <v>0</v>
      </c>
      <c r="BP332">
        <f t="shared" si="314"/>
        <v>0</v>
      </c>
    </row>
    <row r="333" spans="14:68">
      <c r="N333" s="7">
        <v>15</v>
      </c>
      <c r="O333" s="18">
        <f t="shared" si="318"/>
        <v>14125.3754462276</v>
      </c>
      <c r="P333" s="86" t="str">
        <f t="shared" si="265"/>
        <v>163,636363636364</v>
      </c>
      <c r="Q333" s="4" t="str">
        <f t="shared" si="266"/>
        <v>1+542,196183477756i</v>
      </c>
      <c r="R333" s="4">
        <f t="shared" si="277"/>
        <v>542.197105652404</v>
      </c>
      <c r="S333" s="4">
        <f t="shared" si="278"/>
        <v>1.56895197802115</v>
      </c>
      <c r="T333" s="4" t="str">
        <f t="shared" si="267"/>
        <v>1+1,39163687092624i</v>
      </c>
      <c r="U333" s="4">
        <f t="shared" si="279"/>
        <v>1.7136665896613</v>
      </c>
      <c r="V333" s="4">
        <f t="shared" si="280"/>
        <v>0.947710246701656</v>
      </c>
      <c r="W333" t="str">
        <f t="shared" si="268"/>
        <v>1-1,33128527193199i</v>
      </c>
      <c r="X333" s="4">
        <f t="shared" si="281"/>
        <v>1.66502867100331</v>
      </c>
      <c r="Y333" s="4">
        <f t="shared" si="282"/>
        <v>-0.926557190498686</v>
      </c>
      <c r="Z333" t="str">
        <f t="shared" si="269"/>
        <v>0,99837121443676+0,275766234900197i</v>
      </c>
      <c r="AA333" s="4">
        <f t="shared" si="283"/>
        <v>1.03575677556411</v>
      </c>
      <c r="AB333" s="4">
        <f t="shared" si="284"/>
        <v>0.269496487000983</v>
      </c>
      <c r="AC333" s="67" t="str">
        <f t="shared" si="285"/>
        <v>-0,202871558841947-0,806274282974565i</v>
      </c>
      <c r="AD333" s="68">
        <f t="shared" si="286"/>
        <v>-1.60374224126166</v>
      </c>
      <c r="AE333" s="31">
        <f t="shared" si="287"/>
        <v>-104.12335705384</v>
      </c>
      <c r="AF333" s="32" t="str">
        <f t="shared" si="288"/>
        <v>748,315388573934</v>
      </c>
      <c r="AG333" s="32" t="str">
        <f t="shared" si="270"/>
        <v>1+441,789482833727i</v>
      </c>
      <c r="AH333" s="32">
        <f t="shared" si="289"/>
        <v>441.790614593035</v>
      </c>
      <c r="AI333" s="32">
        <f t="shared" si="290"/>
        <v>1.56853280914448</v>
      </c>
      <c r="AJ333" s="32" t="str">
        <f t="shared" si="271"/>
        <v>1+1,39163687092624i</v>
      </c>
      <c r="AK333" s="32">
        <f t="shared" si="291"/>
        <v>1.7136665896613</v>
      </c>
      <c r="AL333" s="32">
        <f t="shared" si="292"/>
        <v>0.947710246701656</v>
      </c>
      <c r="AM333" s="32" t="str">
        <f t="shared" si="272"/>
        <v>1-0,237200636744175i</v>
      </c>
      <c r="AN333" s="32">
        <f t="shared" si="293"/>
        <v>1.02774711970983</v>
      </c>
      <c r="AO333" s="32">
        <f t="shared" si="294"/>
        <v>-0.232896402667053</v>
      </c>
      <c r="AP333" s="30" t="str">
        <f t="shared" si="295"/>
        <v>1,96050596709244-2,24851812842314i</v>
      </c>
      <c r="AQ333" s="32">
        <f t="shared" si="296"/>
        <v>9.49361577522418</v>
      </c>
      <c r="AR333" s="31">
        <f t="shared" si="297"/>
        <v>-48.9144935910723</v>
      </c>
      <c r="AS333" t="str">
        <f t="shared" si="273"/>
        <v>-0,0000504684572142411</v>
      </c>
      <c r="AT333" t="str">
        <f t="shared" si="274"/>
        <v>0,0199426533735412i</v>
      </c>
      <c r="AU333">
        <f t="shared" si="298"/>
        <v>0.0199426533735412</v>
      </c>
      <c r="AV333">
        <f t="shared" si="299"/>
        <v>1.5707963267949</v>
      </c>
      <c r="AW333" t="str">
        <f t="shared" si="275"/>
        <v>1+1,02102727427509i</v>
      </c>
      <c r="AX333">
        <f t="shared" si="300"/>
        <v>1.42915943645684</v>
      </c>
      <c r="AY333">
        <f t="shared" si="301"/>
        <v>0.795802038629047</v>
      </c>
      <c r="AZ333" t="str">
        <f t="shared" si="276"/>
        <v>1+48,8137933041728i</v>
      </c>
      <c r="BA333">
        <f t="shared" si="302"/>
        <v>48.8240352361673</v>
      </c>
      <c r="BB333">
        <f t="shared" si="303"/>
        <v>1.55031317899397</v>
      </c>
      <c r="BC333" s="30" t="str">
        <f t="shared" si="304"/>
        <v>-0,0592158396741156+0,0629916665326981i</v>
      </c>
      <c r="BD333" s="32">
        <f t="shared" si="305"/>
        <v>-21.2641984551425</v>
      </c>
      <c r="BE333" s="31">
        <f t="shared" si="306"/>
        <v>133.230303938513</v>
      </c>
      <c r="BF333" s="30" t="str">
        <f t="shared" si="307"/>
        <v>0,0628017704698467+0,0349649910904438i</v>
      </c>
      <c r="BG333" s="68">
        <f t="shared" si="308"/>
        <v>-22.8679406964042</v>
      </c>
      <c r="BH333" s="31">
        <f t="shared" si="309"/>
        <v>29.1069468846732</v>
      </c>
      <c r="BI333" s="30" t="str">
        <f t="shared" si="316"/>
        <v>0,025544897110864+0,256643427111499i</v>
      </c>
      <c r="BJ333" s="68">
        <f t="shared" si="310"/>
        <v>-11.7705826799183</v>
      </c>
      <c r="BK333" s="31">
        <f t="shared" si="317"/>
        <v>84.3158103474405</v>
      </c>
      <c r="BL333" s="32">
        <f t="shared" si="311"/>
        <v>-22.8679406964042</v>
      </c>
      <c r="BM333" s="31">
        <f t="shared" si="312"/>
        <v>29.1069468846732</v>
      </c>
      <c r="BO333">
        <f t="shared" si="313"/>
        <v>0</v>
      </c>
      <c r="BP333">
        <f t="shared" si="314"/>
        <v>0</v>
      </c>
    </row>
    <row r="334" spans="14:68">
      <c r="N334" s="7">
        <v>16</v>
      </c>
      <c r="O334" s="18">
        <f t="shared" si="318"/>
        <v>14454.3977074593</v>
      </c>
      <c r="P334" s="86" t="str">
        <f t="shared" si="265"/>
        <v>163,636363636364</v>
      </c>
      <c r="Q334" s="4" t="str">
        <f t="shared" si="266"/>
        <v>1+554,825554994157i</v>
      </c>
      <c r="R334" s="4">
        <f t="shared" si="277"/>
        <v>554.826456177582</v>
      </c>
      <c r="S334" s="4">
        <f t="shared" si="278"/>
        <v>1.56899396043279</v>
      </c>
      <c r="T334" s="4" t="str">
        <f t="shared" si="267"/>
        <v>1+1,42405225781833i</v>
      </c>
      <c r="U334" s="4">
        <f t="shared" si="279"/>
        <v>1.7400933403118</v>
      </c>
      <c r="V334" s="4">
        <f t="shared" si="280"/>
        <v>0.958581031257365</v>
      </c>
      <c r="W334" t="str">
        <f t="shared" si="268"/>
        <v>1-1,36229488949458i</v>
      </c>
      <c r="X334" s="4">
        <f t="shared" si="281"/>
        <v>1.68992525454324</v>
      </c>
      <c r="Y334" s="4">
        <f t="shared" si="282"/>
        <v>-0.937578063283879</v>
      </c>
      <c r="Z334" t="str">
        <f t="shared" si="269"/>
        <v>0,998294452138078+0,28218965568102i</v>
      </c>
      <c r="AA334" s="4">
        <f t="shared" si="283"/>
        <v>1.03741159379633</v>
      </c>
      <c r="AB334" s="4">
        <f t="shared" si="284"/>
        <v>0.275484508272074</v>
      </c>
      <c r="AC334" s="67" t="str">
        <f t="shared" si="285"/>
        <v>-0,209001687270923-0,80946366972538i</v>
      </c>
      <c r="AD334" s="68">
        <f t="shared" si="286"/>
        <v>-1.55576795756878</v>
      </c>
      <c r="AE334" s="31">
        <f t="shared" si="287"/>
        <v>-104.477450237412</v>
      </c>
      <c r="AF334" s="32" t="str">
        <f t="shared" si="288"/>
        <v>748,315388573934</v>
      </c>
      <c r="AG334" s="32" t="str">
        <f t="shared" si="270"/>
        <v>1+452,08008184709i</v>
      </c>
      <c r="AH334" s="32">
        <f t="shared" si="289"/>
        <v>452.081187844475</v>
      </c>
      <c r="AI334" s="32">
        <f t="shared" si="290"/>
        <v>1.56858433292659</v>
      </c>
      <c r="AJ334" s="32" t="str">
        <f t="shared" si="271"/>
        <v>1+1,42405225781833i</v>
      </c>
      <c r="AK334" s="32">
        <f t="shared" si="291"/>
        <v>1.7400933403118</v>
      </c>
      <c r="AL334" s="32">
        <f t="shared" si="292"/>
        <v>0.958581031257365</v>
      </c>
      <c r="AM334" s="32" t="str">
        <f t="shared" si="272"/>
        <v>1-0,242725749344847i</v>
      </c>
      <c r="AN334" s="32">
        <f t="shared" si="293"/>
        <v>1.02903634017221</v>
      </c>
      <c r="AO334" s="32">
        <f t="shared" si="294"/>
        <v>-0.238120678855605</v>
      </c>
      <c r="AP334" s="30" t="str">
        <f t="shared" si="295"/>
        <v>1,96033386087189-2,22308704956168i</v>
      </c>
      <c r="AQ334" s="32">
        <f t="shared" si="296"/>
        <v>9.43742995597787</v>
      </c>
      <c r="AR334" s="31">
        <f t="shared" si="297"/>
        <v>-48.5939245879085</v>
      </c>
      <c r="AS334" t="str">
        <f t="shared" si="273"/>
        <v>-0,0000504684572142411</v>
      </c>
      <c r="AT334" t="str">
        <f t="shared" si="274"/>
        <v>0,0204071774446288i</v>
      </c>
      <c r="AU334">
        <f t="shared" si="298"/>
        <v>0.0204071774446288</v>
      </c>
      <c r="AV334">
        <f t="shared" si="299"/>
        <v>1.5707963267949</v>
      </c>
      <c r="AW334" t="str">
        <f t="shared" si="275"/>
        <v>1+1,04481005469322i</v>
      </c>
      <c r="AX334">
        <f t="shared" si="300"/>
        <v>1.44624619286899</v>
      </c>
      <c r="AY334">
        <f t="shared" si="301"/>
        <v>0.807308699137928</v>
      </c>
      <c r="AZ334" t="str">
        <f t="shared" si="276"/>
        <v>1+49,9508126148012i</v>
      </c>
      <c r="BA334">
        <f t="shared" si="302"/>
        <v>49.9608214592092</v>
      </c>
      <c r="BB334">
        <f t="shared" si="303"/>
        <v>1.55077930637575</v>
      </c>
      <c r="BC334" s="30" t="str">
        <f t="shared" si="304"/>
        <v>-0,0578248875523328+0,0628890977920402i</v>
      </c>
      <c r="BD334" s="32">
        <f t="shared" si="305"/>
        <v>-21.3675114035325</v>
      </c>
      <c r="BE334" s="31">
        <f t="shared" si="306"/>
        <v>132.597727986756</v>
      </c>
      <c r="BF334" s="30" t="str">
        <f t="shared" si="307"/>
        <v>0,0629919389491521+0,0336632181300863i</v>
      </c>
      <c r="BG334" s="68">
        <f t="shared" si="308"/>
        <v>-22.9232793611013</v>
      </c>
      <c r="BH334" s="31">
        <f t="shared" si="309"/>
        <v>28.1202777493434</v>
      </c>
      <c r="BI334" s="30" t="str">
        <f t="shared" si="316"/>
        <v>0,0264518537901552+0,251833386541371i</v>
      </c>
      <c r="BJ334" s="68">
        <f t="shared" si="310"/>
        <v>-11.9300814475547</v>
      </c>
      <c r="BK334" s="31">
        <f t="shared" si="317"/>
        <v>84.0038033988473</v>
      </c>
      <c r="BL334" s="32">
        <f t="shared" si="311"/>
        <v>-22.9232793611013</v>
      </c>
      <c r="BM334" s="31">
        <f t="shared" si="312"/>
        <v>28.1202777493434</v>
      </c>
      <c r="BO334">
        <f t="shared" si="313"/>
        <v>0</v>
      </c>
      <c r="BP334">
        <f t="shared" si="314"/>
        <v>0</v>
      </c>
    </row>
    <row r="335" spans="14:68">
      <c r="N335" s="7">
        <v>17</v>
      </c>
      <c r="O335" s="18">
        <f t="shared" si="318"/>
        <v>14791.0838816821</v>
      </c>
      <c r="P335" s="86" t="str">
        <f t="shared" si="265"/>
        <v>163,636363636364</v>
      </c>
      <c r="Q335" s="4" t="str">
        <f t="shared" si="266"/>
        <v>1+567,7491023638i</v>
      </c>
      <c r="R335" s="4">
        <f t="shared" si="277"/>
        <v>567.749983033818</v>
      </c>
      <c r="S335" s="4">
        <f t="shared" si="278"/>
        <v>1.56903498721421</v>
      </c>
      <c r="T335" s="4" t="str">
        <f t="shared" si="267"/>
        <v>1+1,45722269606709i</v>
      </c>
      <c r="U335" s="4">
        <f t="shared" si="279"/>
        <v>1.76734206817272</v>
      </c>
      <c r="V335" s="4">
        <f t="shared" si="280"/>
        <v>0.969367181628116</v>
      </c>
      <c r="W335" t="str">
        <f t="shared" si="268"/>
        <v>1-1,39402681383969i</v>
      </c>
      <c r="X335" s="4">
        <f t="shared" si="281"/>
        <v>1.71560798485669</v>
      </c>
      <c r="Y335" s="4">
        <f t="shared" si="282"/>
        <v>-0.948523158050678</v>
      </c>
      <c r="Z335" t="str">
        <f t="shared" si="269"/>
        <v>0,998214072143715+0,288762697152507i</v>
      </c>
      <c r="AA335" s="4">
        <f t="shared" si="283"/>
        <v>1.03914158279444</v>
      </c>
      <c r="AB335" s="4">
        <f t="shared" si="284"/>
        <v>0.281592529731751</v>
      </c>
      <c r="AC335" s="67" t="str">
        <f t="shared" si="285"/>
        <v>-0,215376829408715-0,812935021109196i</v>
      </c>
      <c r="AD335" s="68">
        <f t="shared" si="286"/>
        <v>-1.5042672014319</v>
      </c>
      <c r="AE335" s="31">
        <f t="shared" si="287"/>
        <v>-104.83887159272</v>
      </c>
      <c r="AF335" s="32" t="str">
        <f t="shared" si="288"/>
        <v>748,315388573934</v>
      </c>
      <c r="AG335" s="32" t="str">
        <f t="shared" si="270"/>
        <v>1+462,610379703837i</v>
      </c>
      <c r="AH335" s="32">
        <f t="shared" si="289"/>
        <v>462.611460525707</v>
      </c>
      <c r="AI335" s="32">
        <f t="shared" si="290"/>
        <v>1.56863468389559</v>
      </c>
      <c r="AJ335" s="32" t="str">
        <f t="shared" si="271"/>
        <v>1+1,45722269606709i</v>
      </c>
      <c r="AK335" s="32">
        <f t="shared" si="291"/>
        <v>1.76734206817272</v>
      </c>
      <c r="AL335" s="32">
        <f t="shared" si="292"/>
        <v>0.969367181628116</v>
      </c>
      <c r="AM335" s="32" t="str">
        <f t="shared" si="272"/>
        <v>1-0,248379558350677i</v>
      </c>
      <c r="AN335" s="32">
        <f t="shared" si="293"/>
        <v>1.03038459082348</v>
      </c>
      <c r="AO335" s="32">
        <f t="shared" si="294"/>
        <v>-0.243452961037651</v>
      </c>
      <c r="AP335" s="30" t="str">
        <f t="shared" si="295"/>
        <v>1,96016950063317-2,1988346466025i</v>
      </c>
      <c r="AQ335" s="32">
        <f t="shared" si="296"/>
        <v>9.38376518195407</v>
      </c>
      <c r="AR335" s="31">
        <f t="shared" si="297"/>
        <v>-48.284325856693</v>
      </c>
      <c r="AS335" t="str">
        <f t="shared" si="273"/>
        <v>-0,0000504684572142411</v>
      </c>
      <c r="AT335" t="str">
        <f t="shared" si="274"/>
        <v>0,0208825216713185i</v>
      </c>
      <c r="AU335">
        <f t="shared" si="298"/>
        <v>0.0208825216713185</v>
      </c>
      <c r="AV335">
        <f t="shared" si="299"/>
        <v>1.5707963267949</v>
      </c>
      <c r="AW335" t="str">
        <f t="shared" si="275"/>
        <v>1+1,06914680723204i</v>
      </c>
      <c r="AX335">
        <f t="shared" si="300"/>
        <v>1.4639244841912</v>
      </c>
      <c r="AY335">
        <f t="shared" si="301"/>
        <v>0.818803760326488</v>
      </c>
      <c r="AZ335" t="str">
        <f t="shared" si="276"/>
        <v>1+51,1143165074551i</v>
      </c>
      <c r="BA335">
        <f t="shared" si="302"/>
        <v>51.1240975668451</v>
      </c>
      <c r="BB335">
        <f t="shared" si="303"/>
        <v>1.55123483180934</v>
      </c>
      <c r="BC335" s="30" t="str">
        <f t="shared" si="304"/>
        <v>-0,0564367381997648+0,0627559382887584i</v>
      </c>
      <c r="BD335" s="32">
        <f t="shared" si="305"/>
        <v>-21.4731186272539</v>
      </c>
      <c r="BE335" s="31">
        <f t="shared" si="306"/>
        <v>131.965209180212</v>
      </c>
      <c r="BF335" s="30" t="str">
        <f t="shared" si="307"/>
        <v>0,0631716657531343+0,0323632259445582i</v>
      </c>
      <c r="BG335" s="68">
        <f t="shared" si="308"/>
        <v>-22.9773858286858</v>
      </c>
      <c r="BH335" s="31">
        <f t="shared" si="309"/>
        <v>27.1263375874921</v>
      </c>
      <c r="BI335" s="30" t="str">
        <f t="shared" si="316"/>
        <v>0,0273643584549725+0,247107331512119i</v>
      </c>
      <c r="BJ335" s="68">
        <f t="shared" si="310"/>
        <v>-12.0893534452999</v>
      </c>
      <c r="BK335" s="31">
        <f t="shared" si="317"/>
        <v>83.6808833235194</v>
      </c>
      <c r="BL335" s="32">
        <f t="shared" si="311"/>
        <v>-22.9773858286858</v>
      </c>
      <c r="BM335" s="31">
        <f t="shared" si="312"/>
        <v>27.1263375874921</v>
      </c>
      <c r="BO335">
        <f t="shared" si="313"/>
        <v>0</v>
      </c>
      <c r="BP335">
        <f t="shared" si="314"/>
        <v>0</v>
      </c>
    </row>
    <row r="336" spans="14:68">
      <c r="N336" s="7">
        <v>18</v>
      </c>
      <c r="O336" s="18">
        <f t="shared" si="318"/>
        <v>15135.6124843621</v>
      </c>
      <c r="P336" s="86" t="str">
        <f t="shared" si="265"/>
        <v>163,636363636364</v>
      </c>
      <c r="Q336" s="4" t="str">
        <f t="shared" si="266"/>
        <v>1+580,973677822565i</v>
      </c>
      <c r="R336" s="4">
        <f t="shared" si="277"/>
        <v>580.974538446116</v>
      </c>
      <c r="S336" s="4">
        <f t="shared" si="278"/>
        <v>1.56907508011779</v>
      </c>
      <c r="T336" s="4" t="str">
        <f t="shared" si="267"/>
        <v>1+1,49116577307792i</v>
      </c>
      <c r="U336" s="4">
        <f t="shared" si="279"/>
        <v>1.79543180399565</v>
      </c>
      <c r="V336" s="4">
        <f t="shared" si="280"/>
        <v>0.980064377871847</v>
      </c>
      <c r="W336" t="str">
        <f t="shared" si="268"/>
        <v>1-1,42649786965362i</v>
      </c>
      <c r="X336" s="4">
        <f t="shared" si="281"/>
        <v>1.74209533956277</v>
      </c>
      <c r="Y336" s="4">
        <f t="shared" si="282"/>
        <v>-0.959387788941703</v>
      </c>
      <c r="Z336" t="str">
        <f t="shared" si="269"/>
        <v>0,998129903956924+0,29548884442825i</v>
      </c>
      <c r="AA336" s="4">
        <f t="shared" si="283"/>
        <v>1.04095002874999</v>
      </c>
      <c r="AB336" s="4">
        <f t="shared" si="284"/>
        <v>0.287822092075419</v>
      </c>
      <c r="AC336" s="67" t="str">
        <f t="shared" si="285"/>
        <v>-0,22200507818372-0,8166812181617i</v>
      </c>
      <c r="AD336" s="68">
        <f t="shared" si="286"/>
        <v>-1.44932656589228</v>
      </c>
      <c r="AE336" s="31">
        <f t="shared" si="287"/>
        <v>-105.207689676024</v>
      </c>
      <c r="AF336" s="32" t="str">
        <f t="shared" si="288"/>
        <v>748,315388573934</v>
      </c>
      <c r="AG336" s="32" t="str">
        <f t="shared" si="270"/>
        <v>1+473,385959707275i</v>
      </c>
      <c r="AH336" s="32">
        <f t="shared" si="289"/>
        <v>473.387015926692</v>
      </c>
      <c r="AI336" s="32">
        <f t="shared" si="290"/>
        <v>1.56868388874719</v>
      </c>
      <c r="AJ336" s="32" t="str">
        <f t="shared" si="271"/>
        <v>1+1,49116577307792i</v>
      </c>
      <c r="AK336" s="32">
        <f t="shared" si="291"/>
        <v>1.79543180399565</v>
      </c>
      <c r="AL336" s="32">
        <f t="shared" si="292"/>
        <v>0.980064377871847</v>
      </c>
      <c r="AM336" s="32" t="str">
        <f t="shared" si="272"/>
        <v>1-0,254165061486036i</v>
      </c>
      <c r="AN336" s="32">
        <f t="shared" si="293"/>
        <v>1.03179449430601</v>
      </c>
      <c r="AO336" s="32">
        <f t="shared" si="294"/>
        <v>-0.248894863023351</v>
      </c>
      <c r="AP336" s="30" t="str">
        <f t="shared" si="295"/>
        <v>1,96001253775618-2,17574806288839i</v>
      </c>
      <c r="AQ336" s="32">
        <f t="shared" si="296"/>
        <v>9.33260908858342</v>
      </c>
      <c r="AR336" s="31">
        <f t="shared" si="297"/>
        <v>-47.986038905937</v>
      </c>
      <c r="AS336" t="str">
        <f t="shared" si="273"/>
        <v>-0,0000504684572142411</v>
      </c>
      <c r="AT336" t="str">
        <f t="shared" si="274"/>
        <v>0,0213689380874112i</v>
      </c>
      <c r="AU336">
        <f t="shared" si="298"/>
        <v>0.0213689380874112</v>
      </c>
      <c r="AV336">
        <f t="shared" si="299"/>
        <v>1.5707963267949</v>
      </c>
      <c r="AW336" t="str">
        <f t="shared" si="275"/>
        <v>1+1,09405043555989i</v>
      </c>
      <c r="AX336">
        <f t="shared" si="300"/>
        <v>1.48220995663529</v>
      </c>
      <c r="AY336">
        <f t="shared" si="301"/>
        <v>0.830281166745942</v>
      </c>
      <c r="AZ336" t="str">
        <f t="shared" si="276"/>
        <v>1+52,3049218872993i</v>
      </c>
      <c r="BA336">
        <f t="shared" si="302"/>
        <v>52.3144803437488</v>
      </c>
      <c r="BB336">
        <f t="shared" si="303"/>
        <v>1.55167999606373</v>
      </c>
      <c r="BC336" s="30" t="str">
        <f t="shared" si="304"/>
        <v>-0,0550528493831988+0,0625923610530794i</v>
      </c>
      <c r="BD336" s="32">
        <f t="shared" si="305"/>
        <v>-21.5810144502169</v>
      </c>
      <c r="BE336" s="31">
        <f t="shared" si="306"/>
        <v>131.333108265588</v>
      </c>
      <c r="BF336" s="30" t="str">
        <f t="shared" si="307"/>
        <v>0,0633400178039994+0,0310648060882509i</v>
      </c>
      <c r="BG336" s="68">
        <f t="shared" si="308"/>
        <v>-23.0303410161092</v>
      </c>
      <c r="BH336" s="31">
        <f t="shared" si="309"/>
        <v>26.1254185895636</v>
      </c>
      <c r="BI336" s="30" t="str">
        <f t="shared" si="316"/>
        <v>0,028280933282576+0,242462942833778i</v>
      </c>
      <c r="BJ336" s="68">
        <f t="shared" si="310"/>
        <v>-12.2484053616335</v>
      </c>
      <c r="BK336" s="31">
        <f t="shared" si="317"/>
        <v>83.3470693596508</v>
      </c>
      <c r="BL336" s="32">
        <f t="shared" si="311"/>
        <v>-23.0303410161092</v>
      </c>
      <c r="BM336" s="31">
        <f t="shared" si="312"/>
        <v>26.1254185895636</v>
      </c>
      <c r="BO336">
        <f t="shared" si="313"/>
        <v>0</v>
      </c>
      <c r="BP336">
        <f t="shared" si="314"/>
        <v>0</v>
      </c>
    </row>
    <row r="337" spans="14:68">
      <c r="N337" s="7">
        <v>19</v>
      </c>
      <c r="O337" s="18">
        <f t="shared" si="318"/>
        <v>15488.1661891249</v>
      </c>
      <c r="P337" s="86" t="str">
        <f t="shared" si="265"/>
        <v>163,636363636364</v>
      </c>
      <c r="Q337" s="4" t="str">
        <f t="shared" si="266"/>
        <v>1+594,50629321541i</v>
      </c>
      <c r="R337" s="4">
        <f t="shared" si="277"/>
        <v>594.507134248805</v>
      </c>
      <c r="S337" s="4">
        <f t="shared" si="278"/>
        <v>1.56911426040082</v>
      </c>
      <c r="T337" s="4" t="str">
        <f t="shared" si="267"/>
        <v>1+1,52589948591955i</v>
      </c>
      <c r="U337" s="4">
        <f t="shared" si="279"/>
        <v>1.82438187919348</v>
      </c>
      <c r="V337" s="4">
        <f t="shared" si="280"/>
        <v>0.990668499120135</v>
      </c>
      <c r="W337" t="str">
        <f t="shared" si="268"/>
        <v>1-1,45972527351998i</v>
      </c>
      <c r="X337" s="4">
        <f t="shared" si="281"/>
        <v>1.76940607949475</v>
      </c>
      <c r="Y337" s="4">
        <f t="shared" si="282"/>
        <v>-0.970167456984653</v>
      </c>
      <c r="Z337" t="str">
        <f t="shared" si="269"/>
        <v>0,998041769045698+0,302371663800567i</v>
      </c>
      <c r="AA337" s="4">
        <f t="shared" si="283"/>
        <v>1.04284035011568</v>
      </c>
      <c r="AB337" s="4">
        <f t="shared" si="284"/>
        <v>0.29417469750232</v>
      </c>
      <c r="AC337" s="67" t="str">
        <f t="shared" si="285"/>
        <v>-0,228894620119779-0,820694814481457i</v>
      </c>
      <c r="AD337" s="68">
        <f t="shared" si="286"/>
        <v>-1.39103624807612</v>
      </c>
      <c r="AE337" s="31">
        <f t="shared" si="287"/>
        <v>-105.583970111196</v>
      </c>
      <c r="AF337" s="32" t="str">
        <f t="shared" si="288"/>
        <v>748,315388573934</v>
      </c>
      <c r="AG337" s="32" t="str">
        <f t="shared" si="270"/>
        <v>1+484,412535212556i</v>
      </c>
      <c r="AH337" s="32">
        <f t="shared" si="289"/>
        <v>484.413567389535</v>
      </c>
      <c r="AI337" s="32">
        <f t="shared" si="290"/>
        <v>1.56873197356951</v>
      </c>
      <c r="AJ337" s="32" t="str">
        <f t="shared" si="271"/>
        <v>1+1,52589948591955i</v>
      </c>
      <c r="AK337" s="32">
        <f t="shared" si="291"/>
        <v>1.82438187919348</v>
      </c>
      <c r="AL337" s="32">
        <f t="shared" si="292"/>
        <v>0.990668499120135</v>
      </c>
      <c r="AM337" s="32" t="str">
        <f t="shared" si="272"/>
        <v>1-0,260085326301269i</v>
      </c>
      <c r="AN337" s="32">
        <f t="shared" si="293"/>
        <v>1.033268782533</v>
      </c>
      <c r="AO337" s="32">
        <f t="shared" si="294"/>
        <v>-0.254447980366712</v>
      </c>
      <c r="AP337" s="30" t="str">
        <f t="shared" si="295"/>
        <v>1,95986263931073-2,15381505974219i</v>
      </c>
      <c r="AQ337" s="32">
        <f t="shared" si="296"/>
        <v>9.28394872867178</v>
      </c>
      <c r="AR337" s="31">
        <f t="shared" si="297"/>
        <v>-47.6993927572582</v>
      </c>
      <c r="AS337" t="str">
        <f t="shared" si="273"/>
        <v>-0,0000504684572142411</v>
      </c>
      <c r="AT337" t="str">
        <f t="shared" si="274"/>
        <v>0,0218666845973293i</v>
      </c>
      <c r="AU337">
        <f t="shared" si="298"/>
        <v>0.0218666845973293</v>
      </c>
      <c r="AV337">
        <f t="shared" si="299"/>
        <v>1.5707963267949</v>
      </c>
      <c r="AW337" t="str">
        <f t="shared" si="275"/>
        <v>1+1,11953414391015i</v>
      </c>
      <c r="AX337">
        <f t="shared" si="300"/>
        <v>1.50111848279229</v>
      </c>
      <c r="AY337">
        <f t="shared" si="301"/>
        <v>0.841734909459544</v>
      </c>
      <c r="AZ337" t="str">
        <f t="shared" si="276"/>
        <v>1+53,5232600290658i</v>
      </c>
      <c r="BA337">
        <f t="shared" si="302"/>
        <v>53.5326009468902</v>
      </c>
      <c r="BB337">
        <f t="shared" si="303"/>
        <v>1.55211503446475</v>
      </c>
      <c r="BC337" s="30" t="str">
        <f t="shared" si="304"/>
        <v>-0,0536746609394945+0,0623986224060652i</v>
      </c>
      <c r="BD337" s="32">
        <f t="shared" si="305"/>
        <v>-21.6911907923062</v>
      </c>
      <c r="BE337" s="31">
        <f t="shared" si="306"/>
        <v>130.701783012774</v>
      </c>
      <c r="BF337" s="30" t="str">
        <f t="shared" si="307"/>
        <v>0,0634960669652477+0,0297678069304597i</v>
      </c>
      <c r="BG337" s="68">
        <f t="shared" si="308"/>
        <v>-23.0822270403823</v>
      </c>
      <c r="BH337" s="31">
        <f t="shared" si="309"/>
        <v>25.1178129015776</v>
      </c>
      <c r="BI337" s="30" t="str">
        <f t="shared" si="316"/>
        <v>0,0292001299923634+0,237898021856144i</v>
      </c>
      <c r="BJ337" s="68">
        <f t="shared" si="310"/>
        <v>-12.4072420636344</v>
      </c>
      <c r="BK337" s="31">
        <f t="shared" si="317"/>
        <v>83.0023902555157</v>
      </c>
      <c r="BL337" s="32">
        <f t="shared" si="311"/>
        <v>-23.0822270403823</v>
      </c>
      <c r="BM337" s="31">
        <f t="shared" si="312"/>
        <v>25.1178129015776</v>
      </c>
      <c r="BO337">
        <f t="shared" si="313"/>
        <v>0</v>
      </c>
      <c r="BP337">
        <f t="shared" si="314"/>
        <v>0</v>
      </c>
    </row>
    <row r="338" spans="14:68">
      <c r="N338" s="7">
        <v>20</v>
      </c>
      <c r="O338" s="18">
        <f t="shared" si="318"/>
        <v>15848.9319246111</v>
      </c>
      <c r="P338" s="86" t="str">
        <f t="shared" si="265"/>
        <v>163,636363636364</v>
      </c>
      <c r="Q338" s="4" t="str">
        <f t="shared" si="266"/>
        <v>1+608,354123714132i</v>
      </c>
      <c r="R338" s="4">
        <f t="shared" si="277"/>
        <v>608.354945603296</v>
      </c>
      <c r="S338" s="4">
        <f t="shared" si="278"/>
        <v>1.56915254883671</v>
      </c>
      <c r="T338" s="4" t="str">
        <f t="shared" si="267"/>
        <v>1+1,56144225086627i</v>
      </c>
      <c r="U338" s="4">
        <f t="shared" si="279"/>
        <v>1.85421193578035</v>
      </c>
      <c r="V338" s="4">
        <f t="shared" si="280"/>
        <v>1.00117562845711</v>
      </c>
      <c r="W338" t="str">
        <f t="shared" si="268"/>
        <v>1-1,49372664304809i</v>
      </c>
      <c r="X338" s="4">
        <f t="shared" si="281"/>
        <v>1.79755925747991</v>
      </c>
      <c r="Y338" s="4">
        <f t="shared" si="282"/>
        <v>-0.980857856882297</v>
      </c>
      <c r="Z338" t="str">
        <f t="shared" si="269"/>
        <v>0,997949480464074+0,30941480463139i</v>
      </c>
      <c r="AA338" s="4">
        <f t="shared" si="283"/>
        <v>1.04481610194502</v>
      </c>
      <c r="AB338" s="4">
        <f t="shared" si="284"/>
        <v>0.300651805119266</v>
      </c>
      <c r="AC338" s="67" t="str">
        <f t="shared" si="285"/>
        <v>-0,236053720273363-0,824968015216541i</v>
      </c>
      <c r="AD338" s="68">
        <f t="shared" si="286"/>
        <v>-1.32948983331066</v>
      </c>
      <c r="AE338" s="31">
        <f t="shared" si="287"/>
        <v>-105.967775436515</v>
      </c>
      <c r="AF338" s="32" t="str">
        <f t="shared" si="288"/>
        <v>748,315388573934</v>
      </c>
      <c r="AG338" s="32" t="str">
        <f t="shared" si="270"/>
        <v>1+495,695952655959i</v>
      </c>
      <c r="AH338" s="32">
        <f t="shared" si="289"/>
        <v>495.69696133777</v>
      </c>
      <c r="AI338" s="32">
        <f t="shared" si="290"/>
        <v>1.56877896385688</v>
      </c>
      <c r="AJ338" s="32" t="str">
        <f t="shared" si="271"/>
        <v>1+1,56144225086627i</v>
      </c>
      <c r="AK338" s="32">
        <f t="shared" si="291"/>
        <v>1.85421193578035</v>
      </c>
      <c r="AL338" s="32">
        <f t="shared" si="292"/>
        <v>1.00117562845711</v>
      </c>
      <c r="AM338" s="32" t="str">
        <f t="shared" si="272"/>
        <v>1-0,26614349179914i</v>
      </c>
      <c r="AN338" s="32">
        <f t="shared" si="293"/>
        <v>1.0348103005996</v>
      </c>
      <c r="AO338" s="32">
        <f t="shared" si="294"/>
        <v>-0.260113886891583</v>
      </c>
      <c r="AP338" s="30" t="str">
        <f t="shared" si="295"/>
        <v>1,95971948735048-2,13302400998799i</v>
      </c>
      <c r="AQ338" s="32">
        <f t="shared" si="296"/>
        <v>9.23777070094653</v>
      </c>
      <c r="AR338" s="31">
        <f t="shared" si="297"/>
        <v>-47.4247034675858</v>
      </c>
      <c r="AS338" t="str">
        <f t="shared" si="273"/>
        <v>-0,0000504684572142411</v>
      </c>
      <c r="AT338" t="str">
        <f t="shared" si="274"/>
        <v>0,0223760251128604i</v>
      </c>
      <c r="AU338">
        <f t="shared" si="298"/>
        <v>0.0223760251128604</v>
      </c>
      <c r="AV338">
        <f t="shared" si="299"/>
        <v>1.5707963267949</v>
      </c>
      <c r="AW338" t="str">
        <f t="shared" si="275"/>
        <v>1+1,14561144408228i</v>
      </c>
      <c r="AX338">
        <f t="shared" si="300"/>
        <v>1.5206661634995</v>
      </c>
      <c r="AY338">
        <f t="shared" si="301"/>
        <v>0.853159041604466</v>
      </c>
      <c r="AZ338" t="str">
        <f t="shared" si="276"/>
        <v>1+54,7699769117632i</v>
      </c>
      <c r="BA338">
        <f t="shared" si="302"/>
        <v>54.7791052401833</v>
      </c>
      <c r="BB338">
        <f t="shared" si="303"/>
        <v>1.55254017701645</v>
      </c>
      <c r="BC338" s="30" t="str">
        <f t="shared" si="304"/>
        <v>-0,0523035888456606+0,0621750601203534i</v>
      </c>
      <c r="BD338" s="32">
        <f t="shared" si="305"/>
        <v>-21.8036372042923</v>
      </c>
      <c r="BE338" s="31">
        <f t="shared" si="306"/>
        <v>130.071587330174</v>
      </c>
      <c r="BF338" s="30" t="str">
        <f t="shared" si="307"/>
        <v>0,0636388926741236+0,0284721336290772i</v>
      </c>
      <c r="BG338" s="68">
        <f t="shared" si="308"/>
        <v>-23.1331270376029</v>
      </c>
      <c r="BH338" s="31">
        <f t="shared" si="309"/>
        <v>24.1038118936588</v>
      </c>
      <c r="BI338" s="30" t="str">
        <f t="shared" si="316"/>
        <v>0,0301205337399523+0,233410487761378i</v>
      </c>
      <c r="BJ338" s="68">
        <f t="shared" si="310"/>
        <v>-12.5658665033458</v>
      </c>
      <c r="BK338" s="31">
        <f t="shared" si="317"/>
        <v>82.6468838625884</v>
      </c>
      <c r="BL338" s="32">
        <f t="shared" si="311"/>
        <v>-23.1331270376029</v>
      </c>
      <c r="BM338" s="31">
        <f t="shared" si="312"/>
        <v>24.1038118936588</v>
      </c>
      <c r="BO338">
        <f t="shared" si="313"/>
        <v>0</v>
      </c>
      <c r="BP338">
        <f t="shared" si="314"/>
        <v>0</v>
      </c>
    </row>
    <row r="339" spans="14:68">
      <c r="N339" s="7">
        <v>21</v>
      </c>
      <c r="O339" s="18">
        <f t="shared" si="318"/>
        <v>16218.1009735893</v>
      </c>
      <c r="P339" s="86" t="str">
        <f t="shared" ref="P339:P402" si="319">COMPLEX(Adc,0)</f>
        <v>163,636363636364</v>
      </c>
      <c r="Q339" s="4" t="str">
        <f t="shared" ref="Q339:Q402" si="320">IMSUM(COMPLEX(1,0),IMDIV(COMPLEX(0,2*PI()*O339),COMPLEX(wp_lf,0)))</f>
        <v>1+622,52451162177i</v>
      </c>
      <c r="R339" s="4">
        <f t="shared" si="277"/>
        <v>622.525314802477</v>
      </c>
      <c r="S339" s="4">
        <f t="shared" si="278"/>
        <v>1.56918996572606</v>
      </c>
      <c r="T339" s="4" t="str">
        <f t="shared" ref="T339:T402" si="321">IMSUM(COMPLEX(1,0),IMDIV(COMPLEX(0,2*PI()*O339),COMPLEX(wz_esr,0)))</f>
        <v>1+1,59781291316254i</v>
      </c>
      <c r="U339" s="4">
        <f t="shared" si="279"/>
        <v>1.88494193689593</v>
      </c>
      <c r="V339" s="4">
        <f t="shared" si="280"/>
        <v>1.0115820568175</v>
      </c>
      <c r="W339" t="str">
        <f t="shared" ref="W339:W402" si="322">IMSUB(COMPLEX(1,0),IMDIV(COMPLEX(0,2*PI()*O339),COMPLEX(wz_rhp,0)))</f>
        <v>1-1,52852000621417i</v>
      </c>
      <c r="X339" s="4">
        <f t="shared" si="281"/>
        <v>1.82657422772713</v>
      </c>
      <c r="Y339" s="4">
        <f t="shared" si="282"/>
        <v>-0.991454882808734</v>
      </c>
      <c r="Z339" t="str">
        <f t="shared" ref="Z339:Z402" si="323">IMSUM(COMPLEX(1,0),IMDIV(COMPLEX(0,2*PI()*O339),COMPLEX(Q*(wsl/2),0)),IMDIV(IMPOWER(COMPLEX(0,2*PI()*O339),2),IMPOWER(COMPLEX(wsl/2,0),2)))</f>
        <v>0,997852842455596+0,31662200128722i</v>
      </c>
      <c r="AA339" s="4">
        <f t="shared" si="283"/>
        <v>1.04688098029138</v>
      </c>
      <c r="AB339" s="4">
        <f t="shared" si="284"/>
        <v>0.307254826131934</v>
      </c>
      <c r="AC339" s="67" t="str">
        <f t="shared" si="285"/>
        <v>-0,243490705458281-0,829492656146696i</v>
      </c>
      <c r="AD339" s="68">
        <f t="shared" si="286"/>
        <v>-1.26478407491097</v>
      </c>
      <c r="AE339" s="31">
        <f t="shared" si="287"/>
        <v>-106.35916493854</v>
      </c>
      <c r="AF339" s="32" t="str">
        <f t="shared" si="288"/>
        <v>748,315388573934</v>
      </c>
      <c r="AG339" s="32" t="str">
        <f t="shared" ref="AG339:AG402" si="324">IMSUM(COMPLEX(1,0),IMDIV(COMPLEX(0,2*PI()*O339),COMPLEX(wp_lf_DCM,0)))</f>
        <v>1+507,242194654775i</v>
      </c>
      <c r="AH339" s="32">
        <f t="shared" si="289"/>
        <v>507.24318037623</v>
      </c>
      <c r="AI339" s="32">
        <f t="shared" si="290"/>
        <v>1.56882488452332</v>
      </c>
      <c r="AJ339" s="32" t="str">
        <f t="shared" ref="AJ339:AJ402" si="325">IMSUM(COMPLEX(1,0),IMDIV(COMPLEX(0,2*PI()*O339),COMPLEX(wz1_dcm,0)))</f>
        <v>1+1,59781291316254i</v>
      </c>
      <c r="AK339" s="32">
        <f t="shared" si="291"/>
        <v>1.88494193689593</v>
      </c>
      <c r="AL339" s="32">
        <f t="shared" si="292"/>
        <v>1.0115820568175</v>
      </c>
      <c r="AM339" s="32" t="str">
        <f t="shared" ref="AM339:AM402" si="326">IMSUB(COMPLEX(1,0),IMDIV(COMPLEX(0,2*PI()*O339),COMPLEX(wz2_dcm,0)))</f>
        <v>1-0,27234277009919i</v>
      </c>
      <c r="AN339" s="32">
        <f t="shared" si="293"/>
        <v>1.03642201077809</v>
      </c>
      <c r="AO339" s="32">
        <f t="shared" si="294"/>
        <v>-0.265894131016413</v>
      </c>
      <c r="AP339" s="30" t="str">
        <f t="shared" si="295"/>
        <v>1,95958277823849-2,11336389179565i</v>
      </c>
      <c r="AQ339" s="32">
        <f t="shared" si="296"/>
        <v>9.19406127851733</v>
      </c>
      <c r="AR339" s="31">
        <f t="shared" si="297"/>
        <v>-47.1622736960183</v>
      </c>
      <c r="AS339" t="str">
        <f t="shared" ref="AS339:AS402" si="327">COMPLEX(Adc_ea,0)</f>
        <v>-0,0000504684572142411</v>
      </c>
      <c r="AT339" t="str">
        <f t="shared" ref="AT339:AT402" si="328">COMPLEX(0,2*PI()*O339*wp0_ea)</f>
        <v>0,0228972296930882i</v>
      </c>
      <c r="AU339">
        <f t="shared" si="298"/>
        <v>0.0228972296930882</v>
      </c>
      <c r="AV339">
        <f t="shared" si="299"/>
        <v>1.5707963267949</v>
      </c>
      <c r="AW339" t="str">
        <f t="shared" ref="AW339:AW402" si="329">IMSUM(COMPLEX(1,0),IMDIV(COMPLEX(0,2*PI()*O339),COMPLEX(wp1_ea,0)))</f>
        <v>1+1,17229616260603i</v>
      </c>
      <c r="AX339">
        <f t="shared" si="300"/>
        <v>1.54086933023564</v>
      </c>
      <c r="AY339">
        <f t="shared" si="301"/>
        <v>0.864547693558601</v>
      </c>
      <c r="AZ339" t="str">
        <f t="shared" ref="AZ339:AZ402" si="330">IMSUM(COMPLEX(1,0),IMDIV(COMPLEX(0,2*PI()*O339),COMPLEX(wz_ea,0)))</f>
        <v>1+56,045733561186i</v>
      </c>
      <c r="BA339">
        <f t="shared" si="302"/>
        <v>56.0546541369354</v>
      </c>
      <c r="BB339">
        <f t="shared" si="303"/>
        <v>1.55295564851996</v>
      </c>
      <c r="BC339" s="30" t="str">
        <f t="shared" si="304"/>
        <v>-0,0509410194999768+0,0619220910820816i</v>
      </c>
      <c r="BD339" s="32">
        <f t="shared" si="305"/>
        <v>-21.9183409123677</v>
      </c>
      <c r="BE339" s="31">
        <f t="shared" si="306"/>
        <v>129.442870402518</v>
      </c>
      <c r="BF339" s="30" t="str">
        <f t="shared" si="307"/>
        <v>0,0637675845806469+0,0271777479308284i</v>
      </c>
      <c r="BG339" s="68">
        <f t="shared" si="308"/>
        <v>-23.1831249872786</v>
      </c>
      <c r="BH339" s="31">
        <f t="shared" si="309"/>
        <v>23.0837054639783</v>
      </c>
      <c r="BI339" s="30" t="str">
        <f t="shared" si="316"/>
        <v>0,031040766879287+0,228998374499471i</v>
      </c>
      <c r="BJ339" s="68">
        <f t="shared" si="310"/>
        <v>-12.7242796338504</v>
      </c>
      <c r="BK339" s="31">
        <f t="shared" si="317"/>
        <v>82.2805967064995</v>
      </c>
      <c r="BL339" s="32">
        <f t="shared" si="311"/>
        <v>-23.1831249872786</v>
      </c>
      <c r="BM339" s="31">
        <f t="shared" si="312"/>
        <v>23.0837054639783</v>
      </c>
      <c r="BO339">
        <f t="shared" si="313"/>
        <v>0</v>
      </c>
      <c r="BP339">
        <f t="shared" si="314"/>
        <v>0</v>
      </c>
    </row>
    <row r="340" spans="14:68">
      <c r="N340" s="7">
        <v>22</v>
      </c>
      <c r="O340" s="18">
        <f t="shared" si="318"/>
        <v>16595.8690743756</v>
      </c>
      <c r="P340" s="86" t="str">
        <f t="shared" si="319"/>
        <v>163,636363636364</v>
      </c>
      <c r="Q340" s="4" t="str">
        <f t="shared" si="320"/>
        <v>1+637,024970265558i</v>
      </c>
      <c r="R340" s="4">
        <f t="shared" ref="R340:R403" si="331">IMABS(Q340)</f>
        <v>637.025755163663</v>
      </c>
      <c r="S340" s="4">
        <f t="shared" ref="S340:S403" si="332">IMARGUMENT(Q340)</f>
        <v>1.56922653090736</v>
      </c>
      <c r="T340" s="4" t="str">
        <f t="shared" si="321"/>
        <v>1+1,63503075701493i</v>
      </c>
      <c r="U340" s="4">
        <f t="shared" ref="U340:U403" si="333">IMABS(T340)</f>
        <v>1.91659217789931</v>
      </c>
      <c r="V340" s="4">
        <f t="shared" ref="V340:V403" si="334">IMARGUMENT(T340)</f>
        <v>1.02188428592174</v>
      </c>
      <c r="W340" t="str">
        <f t="shared" si="322"/>
        <v>1-1,5641238109199i</v>
      </c>
      <c r="X340" s="4">
        <f t="shared" ref="X340:X403" si="335">IMABS(W340)</f>
        <v>1.8564706558108</v>
      </c>
      <c r="Y340" s="4">
        <f t="shared" ref="Y340:Y403" si="336">IMARGUMENT(W340)</f>
        <v>-1.00195463321474</v>
      </c>
      <c r="Z340" t="str">
        <f t="shared" si="323"/>
        <v>0,997751650038091+0,323997075119121i</v>
      </c>
      <c r="AA340" s="4">
        <f t="shared" ref="AA340:AA403" si="337">IMABS(Z340)</f>
        <v>1.04903882665966</v>
      </c>
      <c r="AB340" s="4">
        <f t="shared" ref="AB340:AB403" si="338">IMARGUMENT(Z340)</f>
        <v>0.313985118824947</v>
      </c>
      <c r="AC340" s="67" t="str">
        <f t="shared" ref="AC340:AC403" si="339">(IMDIV(IMPRODUCT(P340,T340,W340),IMPRODUCT(Q340,Z340)))</f>
        <v>-0,251213945678202-0,834260182977212i</v>
      </c>
      <c r="AD340" s="68">
        <f t="shared" ref="AD340:AD403" si="340">20*LOG(IMABS(AC340))</f>
        <v>-1.19701867092283</v>
      </c>
      <c r="AE340" s="31">
        <f t="shared" ref="AE340:AE403" si="341">(180/PI())*IMARGUMENT(AC340)</f>
        <v>-106.758194472258</v>
      </c>
      <c r="AF340" s="32" t="str">
        <f t="shared" ref="AF340:AF403" si="342">COMPLEX($B$68,0)</f>
        <v>748,315388573934</v>
      </c>
      <c r="AG340" s="32" t="str">
        <f t="shared" si="324"/>
        <v>1+519,057383179343i</v>
      </c>
      <c r="AH340" s="32">
        <f t="shared" ref="AH340:AH403" si="343">IMABS(AG340)</f>
        <v>519.058346463081</v>
      </c>
      <c r="AI340" s="32">
        <f t="shared" ref="AI340:AI403" si="344">IMARGUMENT(AG340)</f>
        <v>1.56886975991581</v>
      </c>
      <c r="AJ340" s="32" t="str">
        <f t="shared" si="325"/>
        <v>1+1,63503075701493i</v>
      </c>
      <c r="AK340" s="32">
        <f t="shared" ref="AK340:AK403" si="345">IMABS(AJ340)</f>
        <v>1.91659217789931</v>
      </c>
      <c r="AL340" s="32">
        <f t="shared" ref="AL340:AL403" si="346">IMARGUMENT(AJ340)</f>
        <v>1.02188428592174</v>
      </c>
      <c r="AM340" s="32" t="str">
        <f t="shared" si="326"/>
        <v>1-0,27868644814083i</v>
      </c>
      <c r="AN340" s="32">
        <f t="shared" ref="AN340:AN403" si="347">IMABS(AM340)</f>
        <v>1.03810699659397</v>
      </c>
      <c r="AO340" s="32">
        <f t="shared" ref="AO340:AO403" si="348">IMARGUMENT(AM340)</f>
        <v>-0.271790231873672</v>
      </c>
      <c r="AP340" s="30" t="str">
        <f t="shared" ref="AP340:AP403" si="349">(IMDIV(IMPRODUCT(AF340,AJ340,AM340),IMPRODUCT(AG340)))</f>
        <v>1,95945222200337-2,09482428284575i</v>
      </c>
      <c r="AQ340" s="32">
        <f t="shared" ref="AQ340:AQ403" si="350">20*LOG(IMABS(AP340))</f>
        <v>9.15280653642695</v>
      </c>
      <c r="AR340" s="31">
        <f t="shared" ref="AR340:AR403" si="351">(180/PI())*IMARGUMENT(AP340)</f>
        <v>-46.9123923140662</v>
      </c>
      <c r="AS340" t="str">
        <f t="shared" si="327"/>
        <v>-0,0000504684572142411</v>
      </c>
      <c r="AT340" t="str">
        <f t="shared" si="328"/>
        <v>0,02343057468758i</v>
      </c>
      <c r="AU340">
        <f t="shared" ref="AU340:AU403" si="352">IMABS(AT340)</f>
        <v>0.02343057468758</v>
      </c>
      <c r="AV340">
        <f t="shared" ref="AV340:AV403" si="353">IMARGUMENT(AT340)</f>
        <v>1.5707963267949</v>
      </c>
      <c r="AW340" t="str">
        <f t="shared" si="329"/>
        <v>1+1,19960244807237i</v>
      </c>
      <c r="AX340">
        <f t="shared" ref="AX340:AX403" si="354">IMABS(AW340)</f>
        <v>1.56174454806835</v>
      </c>
      <c r="AY340">
        <f t="shared" ref="AY340:AY403" si="355">IMARGUMENT(AW340)</f>
        <v>0.875895087619666</v>
      </c>
      <c r="AZ340" t="str">
        <f t="shared" si="330"/>
        <v>1+57,3512064003961i</v>
      </c>
      <c r="BA340">
        <f t="shared" ref="BA340:BA403" si="356">IMABS(AZ340)</f>
        <v>57.3599239502707</v>
      </c>
      <c r="BB340">
        <f t="shared" ref="BB340:BB403" si="357">IMARGUMENT(AZ340)</f>
        <v>1.55336166868969</v>
      </c>
      <c r="BC340" s="30" t="str">
        <f t="shared" ref="BC340:BC403" si="358">IMPRODUCT(AS340,IMDIV(AZ340,IMPRODUCT(AT340,AW340)))</f>
        <v>-0,0495883042622781+0,0616402084812209i</v>
      </c>
      <c r="BD340" s="32">
        <f t="shared" ref="BD340:BD403" si="359">20*LOG(IMABS(BC340))</f>
        <v>-22.035286871916</v>
      </c>
      <c r="BE340" s="31">
        <f t="shared" ref="BE340:BE403" si="360">(180/PI())*IMARGUMENT(BC340)</f>
        <v>128.815975856469</v>
      </c>
      <c r="BF340" s="30" t="str">
        <f t="shared" ref="BF340:BF403" si="361">IMPRODUCT(AC340,BC340)</f>
        <v>0,0638812451795149+0,0258846678023833i</v>
      </c>
      <c r="BG340" s="68">
        <f t="shared" ref="BG340:BG403" si="362">20*LOG(IMABS(BF340))</f>
        <v>-23.2323055428389</v>
      </c>
      <c r="BH340" s="31">
        <f t="shared" ref="BH340:BH403" si="363">(180/PI())*IMARGUMENT(BF340)</f>
        <v>22.0577813842119</v>
      </c>
      <c r="BI340" s="30" t="str">
        <f t="shared" si="316"/>
        <v>0,0319594925540361+0,224659827387043i</v>
      </c>
      <c r="BJ340" s="68">
        <f t="shared" ref="BJ340:BJ403" si="364">20*LOG(IMABS(BI340))</f>
        <v>-12.8824803354891</v>
      </c>
      <c r="BK340" s="31">
        <f t="shared" si="317"/>
        <v>81.9035835424033</v>
      </c>
      <c r="BL340" s="32">
        <f t="shared" ref="BL340:BL403" si="365">IF($B$31=0,BJ340,BG340)</f>
        <v>-23.2323055428389</v>
      </c>
      <c r="BM340" s="31">
        <f t="shared" ref="BM340:BM403" si="366">IF($B$31=0,BK340,BH340)</f>
        <v>22.0577813842119</v>
      </c>
      <c r="BO340">
        <f t="shared" ref="BO340:BO403" si="367">SUM((BL341&lt;0)*(BL340&gt;0))*O340</f>
        <v>0</v>
      </c>
      <c r="BP340">
        <f t="shared" ref="BP340:BP403" si="368">IF(BO340&gt;0,BM340,0)</f>
        <v>0</v>
      </c>
    </row>
    <row r="341" spans="14:68">
      <c r="N341" s="7">
        <v>23</v>
      </c>
      <c r="O341" s="18">
        <f t="shared" si="318"/>
        <v>16982.4365246175</v>
      </c>
      <c r="P341" s="86" t="str">
        <f t="shared" si="319"/>
        <v>163,636363636364</v>
      </c>
      <c r="Q341" s="4" t="str">
        <f t="shared" si="320"/>
        <v>1+651,863187980605i</v>
      </c>
      <c r="R341" s="4">
        <f t="shared" si="331"/>
        <v>651.863955012269</v>
      </c>
      <c r="S341" s="4">
        <f t="shared" si="332"/>
        <v>1.56926226376758</v>
      </c>
      <c r="T341" s="4" t="str">
        <f t="shared" si="321"/>
        <v>1+1,67311551581689i</v>
      </c>
      <c r="U341" s="4">
        <f t="shared" si="333"/>
        <v>1.94918329801669</v>
      </c>
      <c r="V341" s="4">
        <f t="shared" si="334"/>
        <v>1.03207903027335</v>
      </c>
      <c r="W341" t="str">
        <f t="shared" si="322"/>
        <v>1-1,60055693477381i</v>
      </c>
      <c r="X341" s="4">
        <f t="shared" si="335"/>
        <v>1.8872685292381</v>
      </c>
      <c r="Y341" s="4">
        <f t="shared" si="336"/>
        <v>-1.01235341465332</v>
      </c>
      <c r="Z341" t="str">
        <f t="shared" si="323"/>
        <v>0,997645688568876+0,33154393648886i</v>
      </c>
      <c r="AA341" s="4">
        <f t="shared" si="337"/>
        <v>1.05129363250359</v>
      </c>
      <c r="AB341" s="4">
        <f t="shared" si="338"/>
        <v>0.32084398333348</v>
      </c>
      <c r="AC341" s="67" t="str">
        <f t="shared" si="339"/>
        <v>-0,259231833692028-0,83926163097341i</v>
      </c>
      <c r="AD341" s="68">
        <f t="shared" si="340"/>
        <v>-1.1262960390409</v>
      </c>
      <c r="AE341" s="31">
        <f t="shared" si="341"/>
        <v>-107.164916266876</v>
      </c>
      <c r="AF341" s="32" t="str">
        <f t="shared" si="342"/>
        <v>748,315388573934</v>
      </c>
      <c r="AG341" s="32" t="str">
        <f t="shared" si="324"/>
        <v>1+531,147782799011i</v>
      </c>
      <c r="AH341" s="32">
        <f t="shared" si="343"/>
        <v>531.148724155773</v>
      </c>
      <c r="AI341" s="32">
        <f t="shared" si="344"/>
        <v>1.56891361382715</v>
      </c>
      <c r="AJ341" s="32" t="str">
        <f t="shared" si="325"/>
        <v>1+1,67311551581689i</v>
      </c>
      <c r="AK341" s="32">
        <f t="shared" si="345"/>
        <v>1.94918329801669</v>
      </c>
      <c r="AL341" s="32">
        <f t="shared" si="346"/>
        <v>1.03207903027335</v>
      </c>
      <c r="AM341" s="32" t="str">
        <f t="shared" si="326"/>
        <v>1-0,285177889426127i</v>
      </c>
      <c r="AN341" s="32">
        <f t="shared" si="347"/>
        <v>1.03986846697914</v>
      </c>
      <c r="AO341" s="32">
        <f t="shared" si="348"/>
        <v>-0.27780367522061</v>
      </c>
      <c r="AP341" s="30" t="str">
        <f t="shared" si="349"/>
        <v>1,95932754172412-2,07739535481196i</v>
      </c>
      <c r="AQ341" s="32">
        <f t="shared" si="350"/>
        <v>9.11399247749242</v>
      </c>
      <c r="AR341" s="31">
        <f t="shared" si="351"/>
        <v>-46.6753340576599</v>
      </c>
      <c r="AS341" t="str">
        <f t="shared" si="327"/>
        <v>-0,0000504684572142411</v>
      </c>
      <c r="AT341" t="str">
        <f t="shared" si="328"/>
        <v>0,0239763428829115i</v>
      </c>
      <c r="AU341">
        <f t="shared" si="352"/>
        <v>0.0239763428829115</v>
      </c>
      <c r="AV341">
        <f t="shared" si="353"/>
        <v>1.5707963267949</v>
      </c>
      <c r="AW341" t="str">
        <f t="shared" si="329"/>
        <v>1+1,2275447786353i</v>
      </c>
      <c r="AX341">
        <f t="shared" si="354"/>
        <v>1.5833086191753</v>
      </c>
      <c r="AY341">
        <f t="shared" si="355"/>
        <v>0.887195552109873</v>
      </c>
      <c r="AZ341" t="str">
        <f t="shared" si="330"/>
        <v>1+58,6870876083728i</v>
      </c>
      <c r="BA341">
        <f t="shared" si="356"/>
        <v>58.6956067517223</v>
      </c>
      <c r="BB341">
        <f t="shared" si="357"/>
        <v>1.55375845226714</v>
      </c>
      <c r="BC341" s="30" t="str">
        <f t="shared" si="358"/>
        <v>-0,0482467542976259+0,0613299785626669i</v>
      </c>
      <c r="BD341" s="32">
        <f t="shared" si="359"/>
        <v>-22.1544578300512</v>
      </c>
      <c r="BE341" s="31">
        <f t="shared" si="360"/>
        <v>128.191240959011</v>
      </c>
      <c r="BF341" s="30" t="str">
        <f t="shared" si="361"/>
        <v>0,0639789924223304+0,024592966897906i</v>
      </c>
      <c r="BG341" s="68">
        <f t="shared" si="362"/>
        <v>-23.2807538690921</v>
      </c>
      <c r="BH341" s="31">
        <f t="shared" si="363"/>
        <v>21.0263246921349</v>
      </c>
      <c r="BI341" s="30" t="str">
        <f t="shared" si="316"/>
        <v>0,0328754180826663+0,220393099393825i</v>
      </c>
      <c r="BJ341" s="68">
        <f t="shared" si="364"/>
        <v>-13.0404653525588</v>
      </c>
      <c r="BK341" s="31">
        <f t="shared" si="317"/>
        <v>81.5159069013514</v>
      </c>
      <c r="BL341" s="32">
        <f t="shared" si="365"/>
        <v>-23.2807538690921</v>
      </c>
      <c r="BM341" s="31">
        <f t="shared" si="366"/>
        <v>21.0263246921349</v>
      </c>
      <c r="BO341">
        <f t="shared" si="367"/>
        <v>0</v>
      </c>
      <c r="BP341">
        <f t="shared" si="368"/>
        <v>0</v>
      </c>
    </row>
    <row r="342" spans="14:68">
      <c r="N342" s="7">
        <v>24</v>
      </c>
      <c r="O342" s="18">
        <f t="shared" si="318"/>
        <v>17378.0082874938</v>
      </c>
      <c r="P342" s="86" t="str">
        <f t="shared" si="319"/>
        <v>163,636363636364</v>
      </c>
      <c r="Q342" s="4" t="str">
        <f t="shared" si="320"/>
        <v>1+667,047032186341i</v>
      </c>
      <c r="R342" s="4">
        <f t="shared" si="331"/>
        <v>667.047781758253</v>
      </c>
      <c r="S342" s="4">
        <f t="shared" si="332"/>
        <v>1.56929718325238</v>
      </c>
      <c r="T342" s="4" t="str">
        <f t="shared" si="321"/>
        <v>1+1,71208738261161i</v>
      </c>
      <c r="U342" s="4">
        <f t="shared" si="333"/>
        <v>1.98273629252553</v>
      </c>
      <c r="V342" s="4">
        <f t="shared" si="334"/>
        <v>1.04216321824976</v>
      </c>
      <c r="W342" t="str">
        <f t="shared" si="322"/>
        <v>1-1,63783869510039i</v>
      </c>
      <c r="X342" s="4">
        <f t="shared" si="335"/>
        <v>1.91898816858472</v>
      </c>
      <c r="Y342" s="4">
        <f t="shared" si="336"/>
        <v>-1.02264774464405</v>
      </c>
      <c r="Z342" t="str">
        <f t="shared" si="323"/>
        <v>0,997534733289468+0,339266586842224i</v>
      </c>
      <c r="AA342" s="4">
        <f t="shared" si="337"/>
        <v>1.05364954376038</v>
      </c>
      <c r="AB342" s="4">
        <f t="shared" si="338"/>
        <v>0.327832656210546</v>
      </c>
      <c r="AC342" s="67" t="str">
        <f t="shared" si="339"/>
        <v>-0,267552762643095-0,844487605077711i</v>
      </c>
      <c r="AD342" s="68">
        <f t="shared" si="340"/>
        <v>-1.05272109084377</v>
      </c>
      <c r="AE342" s="31">
        <f t="shared" si="341"/>
        <v>-107.579378716751</v>
      </c>
      <c r="AF342" s="32" t="str">
        <f t="shared" si="342"/>
        <v>748,315388573934</v>
      </c>
      <c r="AG342" s="32" t="str">
        <f t="shared" si="324"/>
        <v>1+543,519804003685i</v>
      </c>
      <c r="AH342" s="32">
        <f t="shared" si="343"/>
        <v>543.520723932588</v>
      </c>
      <c r="AI342" s="32">
        <f t="shared" si="344"/>
        <v>1.5689564695086</v>
      </c>
      <c r="AJ342" s="32" t="str">
        <f t="shared" si="325"/>
        <v>1+1,71208738261161i</v>
      </c>
      <c r="AK342" s="32">
        <f t="shared" si="345"/>
        <v>1.98273629252553</v>
      </c>
      <c r="AL342" s="32">
        <f t="shared" si="346"/>
        <v>1.04216321824976</v>
      </c>
      <c r="AM342" s="32" t="str">
        <f t="shared" si="326"/>
        <v>1-0,29182053580317i</v>
      </c>
      <c r="AN342" s="32">
        <f t="shared" si="347"/>
        <v>1.04170976049783</v>
      </c>
      <c r="AO342" s="32">
        <f t="shared" si="348"/>
        <v>-0.28393590913873</v>
      </c>
      <c r="AP342" s="30" t="str">
        <f t="shared" si="349"/>
        <v>1,95920847294291-2,06106786815748i</v>
      </c>
      <c r="AQ342" s="32">
        <f t="shared" si="350"/>
        <v>9.07760515566993</v>
      </c>
      <c r="AR342" s="31">
        <f t="shared" si="351"/>
        <v>-46.451359218966</v>
      </c>
      <c r="AS342" t="str">
        <f t="shared" si="327"/>
        <v>-0,0000504684572142411</v>
      </c>
      <c r="AT342" t="str">
        <f t="shared" si="328"/>
        <v>0,0245348236526039i</v>
      </c>
      <c r="AU342">
        <f t="shared" si="352"/>
        <v>0.0245348236526039</v>
      </c>
      <c r="AV342">
        <f t="shared" si="353"/>
        <v>1.5707963267949</v>
      </c>
      <c r="AW342" t="str">
        <f t="shared" si="329"/>
        <v>1+1,25613796968833i</v>
      </c>
      <c r="AX342">
        <f t="shared" si="354"/>
        <v>1.60557858695634</v>
      </c>
      <c r="AY342">
        <f t="shared" si="355"/>
        <v>0.898443534825849</v>
      </c>
      <c r="AZ342" t="str">
        <f t="shared" si="330"/>
        <v>1+60,0540854870142i</v>
      </c>
      <c r="BA342">
        <f t="shared" si="356"/>
        <v>60.0624107381781</v>
      </c>
      <c r="BB342">
        <f t="shared" si="357"/>
        <v>1.55414620913217</v>
      </c>
      <c r="BC342" s="30" t="str">
        <f t="shared" si="358"/>
        <v>-0,0469176357631432+0,0609920369749732i</v>
      </c>
      <c r="BD342" s="32">
        <f t="shared" si="359"/>
        <v>-22.2758343963916</v>
      </c>
      <c r="BE342" s="31">
        <f t="shared" si="360"/>
        <v>127.568995853193</v>
      </c>
      <c r="BF342" s="30" t="str">
        <f t="shared" si="361"/>
        <v>0,0640599622989177+0,0233027738696413i</v>
      </c>
      <c r="BG342" s="68">
        <f t="shared" si="362"/>
        <v>-23.3285554872354</v>
      </c>
      <c r="BH342" s="31">
        <f t="shared" si="363"/>
        <v>19.9896171364422</v>
      </c>
      <c r="BI342" s="30" t="str">
        <f t="shared" si="316"/>
        <v>0,0337872981049908+0,216196547144745i</v>
      </c>
      <c r="BJ342" s="68">
        <f t="shared" si="364"/>
        <v>-13.1982292407217</v>
      </c>
      <c r="BK342" s="31">
        <f t="shared" si="317"/>
        <v>81.1176366342275</v>
      </c>
      <c r="BL342" s="32">
        <f t="shared" si="365"/>
        <v>-23.3285554872354</v>
      </c>
      <c r="BM342" s="31">
        <f t="shared" si="366"/>
        <v>19.9896171364422</v>
      </c>
      <c r="BO342">
        <f t="shared" si="367"/>
        <v>0</v>
      </c>
      <c r="BP342">
        <f t="shared" si="368"/>
        <v>0</v>
      </c>
    </row>
    <row r="343" spans="14:68">
      <c r="N343" s="7">
        <v>25</v>
      </c>
      <c r="O343" s="18">
        <f t="shared" si="318"/>
        <v>17782.7941003892</v>
      </c>
      <c r="P343" s="86" t="str">
        <f t="shared" si="319"/>
        <v>163,636363636364</v>
      </c>
      <c r="Q343" s="4" t="str">
        <f t="shared" si="320"/>
        <v>1+682,584553557954i</v>
      </c>
      <c r="R343" s="4">
        <f t="shared" si="331"/>
        <v>682.585286067544</v>
      </c>
      <c r="S343" s="4">
        <f t="shared" si="332"/>
        <v>1.5693313078762</v>
      </c>
      <c r="T343" s="4" t="str">
        <f t="shared" si="321"/>
        <v>1+1,75196702079875i</v>
      </c>
      <c r="U343" s="4">
        <f t="shared" si="333"/>
        <v>2.01727252545769</v>
      </c>
      <c r="V343" s="4">
        <f t="shared" si="334"/>
        <v>1.05213399232357</v>
      </c>
      <c r="W343" t="str">
        <f t="shared" si="322"/>
        <v>1-1,67598885918248i</v>
      </c>
      <c r="X343" s="4">
        <f t="shared" si="335"/>
        <v>1.95165023918319</v>
      </c>
      <c r="Y343" s="4">
        <f t="shared" si="336"/>
        <v>-1.03283435360172</v>
      </c>
      <c r="Z343" t="str">
        <f t="shared" si="323"/>
        <v>0,997418548848842+0,347169120830656i</v>
      </c>
      <c r="AA343" s="4">
        <f t="shared" si="337"/>
        <v>1.05611086541426</v>
      </c>
      <c r="AB343" s="4">
        <f t="shared" si="338"/>
        <v>0.334952304795866</v>
      </c>
      <c r="AC343" s="67" t="str">
        <f t="shared" si="339"/>
        <v>-0,276185101690779-0,849928260664663i</v>
      </c>
      <c r="AD343" s="68">
        <f t="shared" si="340"/>
        <v>-0.976401006400284</v>
      </c>
      <c r="AE343" s="31">
        <f t="shared" si="341"/>
        <v>-108.001626157145</v>
      </c>
      <c r="AF343" s="32" t="str">
        <f t="shared" si="342"/>
        <v>748,315388573934</v>
      </c>
      <c r="AG343" s="32" t="str">
        <f t="shared" si="324"/>
        <v>1+556,180006602777i</v>
      </c>
      <c r="AH343" s="32">
        <f t="shared" si="343"/>
        <v>556.180905591576</v>
      </c>
      <c r="AI343" s="32">
        <f t="shared" si="344"/>
        <v>1.56899834968217</v>
      </c>
      <c r="AJ343" s="32" t="str">
        <f t="shared" si="325"/>
        <v>1+1,75196702079875i</v>
      </c>
      <c r="AK343" s="32">
        <f t="shared" si="345"/>
        <v>2.01727252545769</v>
      </c>
      <c r="AL343" s="32">
        <f t="shared" si="346"/>
        <v>1.05213399232357</v>
      </c>
      <c r="AM343" s="32" t="str">
        <f t="shared" si="326"/>
        <v>1-0,298617909290997i</v>
      </c>
      <c r="AN343" s="32">
        <f t="shared" si="347"/>
        <v>1.04363434964039</v>
      </c>
      <c r="AO343" s="32">
        <f t="shared" si="348"/>
        <v>-0.290188339520349</v>
      </c>
      <c r="AP343" s="30" t="str">
        <f t="shared" si="349"/>
        <v>1,95909476310419-2,04583316724346i</v>
      </c>
      <c r="AQ343" s="32">
        <f t="shared" si="350"/>
        <v>9.04363079621374</v>
      </c>
      <c r="AR343" s="31">
        <f t="shared" si="351"/>
        <v>-46.2407133758146</v>
      </c>
      <c r="AS343" t="str">
        <f t="shared" si="327"/>
        <v>-0,0000504684572142411</v>
      </c>
      <c r="AT343" t="str">
        <f t="shared" si="328"/>
        <v>0,0251063131105535i</v>
      </c>
      <c r="AU343">
        <f t="shared" si="352"/>
        <v>0.0251063131105535</v>
      </c>
      <c r="AV343">
        <f t="shared" si="353"/>
        <v>1.5707963267949</v>
      </c>
      <c r="AW343" t="str">
        <f t="shared" si="329"/>
        <v>1+1,28539718171983i</v>
      </c>
      <c r="AX343">
        <f t="shared" si="354"/>
        <v>1.62857174075117</v>
      </c>
      <c r="AY343">
        <f t="shared" si="355"/>
        <v>0.909633615761022</v>
      </c>
      <c r="AZ343" t="str">
        <f t="shared" si="330"/>
        <v>1+61,4529248366907i</v>
      </c>
      <c r="BA343">
        <f t="shared" si="356"/>
        <v>61.4610606073793</v>
      </c>
      <c r="BB343">
        <f t="shared" si="357"/>
        <v>1.55452514441194</v>
      </c>
      <c r="BC343" s="30" t="str">
        <f t="shared" si="358"/>
        <v>-0,045602165372864+0,0606270847574986i</v>
      </c>
      <c r="BD343" s="32">
        <f t="shared" si="359"/>
        <v>-22.3993951214722</v>
      </c>
      <c r="BE343" s="31">
        <f t="shared" si="360"/>
        <v>126.949562835438</v>
      </c>
      <c r="BF343" s="30" t="str">
        <f t="shared" si="361"/>
        <v>0,064123311377934+0,0220142715289354i</v>
      </c>
      <c r="BG343" s="68">
        <f t="shared" si="362"/>
        <v>-23.3757961278725</v>
      </c>
      <c r="BH343" s="31">
        <f t="shared" si="363"/>
        <v>18.9479366782928</v>
      </c>
      <c r="BI343" s="30" t="str">
        <f t="shared" si="316"/>
        <v>0,034693937461982+0,212068626668616i</v>
      </c>
      <c r="BJ343" s="68">
        <f t="shared" si="364"/>
        <v>-13.3557643252584</v>
      </c>
      <c r="BK343" s="31">
        <f t="shared" si="317"/>
        <v>80.7088494596232</v>
      </c>
      <c r="BL343" s="32">
        <f t="shared" si="365"/>
        <v>-23.3757961278725</v>
      </c>
      <c r="BM343" s="31">
        <f t="shared" si="366"/>
        <v>18.9479366782928</v>
      </c>
      <c r="BO343">
        <f t="shared" si="367"/>
        <v>0</v>
      </c>
      <c r="BP343">
        <f t="shared" si="368"/>
        <v>0</v>
      </c>
    </row>
    <row r="344" spans="14:68">
      <c r="N344" s="7">
        <v>26</v>
      </c>
      <c r="O344" s="18">
        <f t="shared" si="318"/>
        <v>18197.0085860998</v>
      </c>
      <c r="P344" s="86" t="str">
        <f t="shared" si="319"/>
        <v>163,636363636364</v>
      </c>
      <c r="Q344" s="4" t="str">
        <f t="shared" si="320"/>
        <v>1+698,483990294943i</v>
      </c>
      <c r="R344" s="4">
        <f t="shared" si="331"/>
        <v>698.484706130597</v>
      </c>
      <c r="S344" s="4">
        <f t="shared" si="332"/>
        <v>1.56936465573204</v>
      </c>
      <c r="T344" s="4" t="str">
        <f t="shared" si="321"/>
        <v>1+1,79277557509035i</v>
      </c>
      <c r="U344" s="4">
        <f t="shared" si="333"/>
        <v>2.05281374280292</v>
      </c>
      <c r="V344" s="4">
        <f t="shared" si="334"/>
        <v>1.06198870845611</v>
      </c>
      <c r="W344" t="str">
        <f t="shared" si="322"/>
        <v>1-1,71502765474205i</v>
      </c>
      <c r="X344" s="4">
        <f t="shared" si="335"/>
        <v>1.98527576334625</v>
      </c>
      <c r="Y344" s="4">
        <f t="shared" si="336"/>
        <v>-1.04291018586099</v>
      </c>
      <c r="Z344" t="str">
        <f t="shared" si="323"/>
        <v>0,997296888804224+0,355255728482281i</v>
      </c>
      <c r="AA344" s="4">
        <f t="shared" si="337"/>
        <v>1.05868206607936</v>
      </c>
      <c r="AB344" s="4">
        <f t="shared" si="338"/>
        <v>0.342204021393987</v>
      </c>
      <c r="AC344" s="67" t="str">
        <f t="shared" si="339"/>
        <v>-0,285137169592291-0,855573285102658i</v>
      </c>
      <c r="AD344" s="68">
        <f t="shared" si="340"/>
        <v>-0.897445010207546</v>
      </c>
      <c r="AE344" s="31">
        <f t="shared" si="341"/>
        <v>-108.431698624682</v>
      </c>
      <c r="AF344" s="32" t="str">
        <f t="shared" si="342"/>
        <v>748,315388573934</v>
      </c>
      <c r="AG344" s="32" t="str">
        <f t="shared" si="324"/>
        <v>1+569,135103203286i</v>
      </c>
      <c r="AH344" s="32">
        <f t="shared" si="343"/>
        <v>569.135981728633</v>
      </c>
      <c r="AI344" s="32">
        <f t="shared" si="344"/>
        <v>1.5690392765527</v>
      </c>
      <c r="AJ344" s="32" t="str">
        <f t="shared" si="325"/>
        <v>1+1,79277557509035i</v>
      </c>
      <c r="AK344" s="32">
        <f t="shared" si="345"/>
        <v>2.05281374280292</v>
      </c>
      <c r="AL344" s="32">
        <f t="shared" si="346"/>
        <v>1.06198870845611</v>
      </c>
      <c r="AM344" s="32" t="str">
        <f t="shared" si="326"/>
        <v>1-0,305573613947008i</v>
      </c>
      <c r="AN344" s="32">
        <f t="shared" si="347"/>
        <v>1.04564584517925</v>
      </c>
      <c r="AO344" s="32">
        <f t="shared" si="348"/>
        <v>-0.29656232534155</v>
      </c>
      <c r="AP344" s="30" t="str">
        <f t="shared" si="349"/>
        <v>1,95898617101889-2,03168317574634i</v>
      </c>
      <c r="AQ344" s="32">
        <f t="shared" si="350"/>
        <v>9.01205591193775</v>
      </c>
      <c r="AR344" s="31">
        <f t="shared" si="351"/>
        <v>-46.043627156302</v>
      </c>
      <c r="AS344" t="str">
        <f t="shared" si="327"/>
        <v>-0,0000504684572142411</v>
      </c>
      <c r="AT344" t="str">
        <f t="shared" si="328"/>
        <v>0,0256911142680358i</v>
      </c>
      <c r="AU344">
        <f t="shared" si="352"/>
        <v>0.0256911142680358</v>
      </c>
      <c r="AV344">
        <f t="shared" si="353"/>
        <v>1.5707963267949</v>
      </c>
      <c r="AW344" t="str">
        <f t="shared" si="329"/>
        <v>1+1,31533792835134i</v>
      </c>
      <c r="AX344">
        <f t="shared" si="354"/>
        <v>1.65230562117291</v>
      </c>
      <c r="AY344">
        <f t="shared" si="355"/>
        <v>0.920760519035682</v>
      </c>
      <c r="AZ344" t="str">
        <f t="shared" si="330"/>
        <v>1+62,8843473405416i</v>
      </c>
      <c r="BA344">
        <f t="shared" si="356"/>
        <v>62.8922979421637</v>
      </c>
      <c r="BB344">
        <f t="shared" si="357"/>
        <v>1.5548954585874</v>
      </c>
      <c r="BC344" s="30" t="str">
        <f t="shared" si="358"/>
        <v>-0,0443015063700806+0,0602358840098757i</v>
      </c>
      <c r="BD344" s="32">
        <f t="shared" si="359"/>
        <v>-22.5251165821468</v>
      </c>
      <c r="BE344" s="31">
        <f t="shared" si="360"/>
        <v>126.333255678097</v>
      </c>
      <c r="BF344" s="30" t="str">
        <f t="shared" si="361"/>
        <v>0,0641682192984317+0,0207276958655807i</v>
      </c>
      <c r="BG344" s="68">
        <f t="shared" si="362"/>
        <v>-23.4225615923544</v>
      </c>
      <c r="BH344" s="31">
        <f t="shared" si="363"/>
        <v>17.901557053415</v>
      </c>
      <c r="BI344" s="30" t="str">
        <f t="shared" si="316"/>
        <v>0,0355941937847793+0,208007888926756i</v>
      </c>
      <c r="BJ344" s="68">
        <f t="shared" si="364"/>
        <v>-13.5130606702091</v>
      </c>
      <c r="BK344" s="31">
        <f t="shared" si="317"/>
        <v>80.2896285217951</v>
      </c>
      <c r="BL344" s="32">
        <f t="shared" si="365"/>
        <v>-23.4225615923544</v>
      </c>
      <c r="BM344" s="31">
        <f t="shared" si="366"/>
        <v>17.901557053415</v>
      </c>
      <c r="BO344">
        <f t="shared" si="367"/>
        <v>0</v>
      </c>
      <c r="BP344">
        <f t="shared" si="368"/>
        <v>0</v>
      </c>
    </row>
    <row r="345" spans="14:68">
      <c r="N345" s="7">
        <v>27</v>
      </c>
      <c r="O345" s="18">
        <f t="shared" si="318"/>
        <v>18620.8713666287</v>
      </c>
      <c r="P345" s="86" t="str">
        <f t="shared" si="319"/>
        <v>163,636363636364</v>
      </c>
      <c r="Q345" s="4" t="str">
        <f t="shared" si="320"/>
        <v>1+714,753772489119i</v>
      </c>
      <c r="R345" s="4">
        <f t="shared" si="331"/>
        <v>714.75447203038</v>
      </c>
      <c r="S345" s="4">
        <f t="shared" si="332"/>
        <v>1.56939724450109</v>
      </c>
      <c r="T345" s="4" t="str">
        <f t="shared" si="321"/>
        <v>1+1,83453468272207i</v>
      </c>
      <c r="U345" s="4">
        <f t="shared" si="333"/>
        <v>2.08938208619442</v>
      </c>
      <c r="V345" s="4">
        <f t="shared" si="334"/>
        <v>1.07172493470889</v>
      </c>
      <c r="W345" t="str">
        <f t="shared" si="322"/>
        <v>1-1,75497578066525i</v>
      </c>
      <c r="X345" s="4">
        <f t="shared" si="335"/>
        <v>2.0198861331079</v>
      </c>
      <c r="Y345" s="4">
        <f t="shared" si="336"/>
        <v>-1.05287239983452</v>
      </c>
      <c r="Z345" t="str">
        <f t="shared" si="323"/>
        <v>0,997169495098347+0,363530697423515i</v>
      </c>
      <c r="AA345" s="4">
        <f t="shared" si="337"/>
        <v>1.06136778259184</v>
      </c>
      <c r="AB345" s="4">
        <f t="shared" si="338"/>
        <v>0.349588817271344</v>
      </c>
      <c r="AC345" s="67" t="str">
        <f t="shared" si="339"/>
        <v>-0,29441720619358-0,861411880304698i</v>
      </c>
      <c r="AD345" s="68">
        <f t="shared" si="340"/>
        <v>-0.815964149319255</v>
      </c>
      <c r="AE345" s="31">
        <f t="shared" si="341"/>
        <v>-108.869631602567</v>
      </c>
      <c r="AF345" s="32" t="str">
        <f t="shared" si="342"/>
        <v>748,315388573934</v>
      </c>
      <c r="AG345" s="32" t="str">
        <f t="shared" si="324"/>
        <v>1+582,391962768911i</v>
      </c>
      <c r="AH345" s="32">
        <f t="shared" si="343"/>
        <v>582.39282129661</v>
      </c>
      <c r="AI345" s="32">
        <f t="shared" si="344"/>
        <v>1.56907927181961</v>
      </c>
      <c r="AJ345" s="32" t="str">
        <f t="shared" si="325"/>
        <v>1+1,83453468272207i</v>
      </c>
      <c r="AK345" s="32">
        <f t="shared" si="345"/>
        <v>2.08938208619442</v>
      </c>
      <c r="AL345" s="32">
        <f t="shared" si="346"/>
        <v>1.07172493470889</v>
      </c>
      <c r="AM345" s="32" t="str">
        <f t="shared" si="326"/>
        <v>1-0,31269133777788i</v>
      </c>
      <c r="AN345" s="32">
        <f t="shared" si="347"/>
        <v>1.04774800058092</v>
      </c>
      <c r="AO345" s="32">
        <f t="shared" si="348"/>
        <v>-0.303059173722108</v>
      </c>
      <c r="AP345" s="30" t="str">
        <f t="shared" si="349"/>
        <v>1,95888246635304-2,018610392382i</v>
      </c>
      <c r="AQ345" s="32">
        <f t="shared" si="350"/>
        <v>8.98286741493329</v>
      </c>
      <c r="AR345" s="31">
        <f t="shared" si="351"/>
        <v>-45.8603160359698</v>
      </c>
      <c r="AS345" t="str">
        <f t="shared" si="327"/>
        <v>-0,0000504684572142411</v>
      </c>
      <c r="AT345" t="str">
        <f t="shared" si="328"/>
        <v>0,0262895371943653i</v>
      </c>
      <c r="AU345">
        <f t="shared" si="352"/>
        <v>0.0262895371943653</v>
      </c>
      <c r="AV345">
        <f t="shared" si="353"/>
        <v>1.5707963267949</v>
      </c>
      <c r="AW345" t="str">
        <f t="shared" si="329"/>
        <v>1+1,34597608456302i</v>
      </c>
      <c r="AX345">
        <f t="shared" si="354"/>
        <v>1.67679802606504</v>
      </c>
      <c r="AY345">
        <f t="shared" si="355"/>
        <v>0.931819123978519</v>
      </c>
      <c r="AZ345" t="str">
        <f t="shared" si="330"/>
        <v>1+64,3491119577256i</v>
      </c>
      <c r="BA345">
        <f t="shared" si="356"/>
        <v>64.356881603663</v>
      </c>
      <c r="BB345">
        <f t="shared" si="357"/>
        <v>1.55525734759754</v>
      </c>
      <c r="BC345" s="30" t="str">
        <f t="shared" si="358"/>
        <v>-0,0430167649311119+0,059819253290128i</v>
      </c>
      <c r="BD345" s="32">
        <f t="shared" si="359"/>
        <v>-22.6529734732835</v>
      </c>
      <c r="BE345" s="31">
        <f t="shared" si="360"/>
        <v>125.720379000503</v>
      </c>
      <c r="BF345" s="30" t="str">
        <f t="shared" si="361"/>
        <v>0,0641938912055761+0,0194433349336687i</v>
      </c>
      <c r="BG345" s="68">
        <f t="shared" si="362"/>
        <v>-23.4689376226028</v>
      </c>
      <c r="BH345" s="31">
        <f t="shared" si="363"/>
        <v>16.8507473979361</v>
      </c>
      <c r="BI345" s="30" t="str">
        <f t="shared" si="316"/>
        <v>0,0364869797731981+0,204012975156959i</v>
      </c>
      <c r="BJ345" s="68">
        <f t="shared" si="364"/>
        <v>-13.6701060583502</v>
      </c>
      <c r="BK345" s="31">
        <f t="shared" si="317"/>
        <v>79.8600629645333</v>
      </c>
      <c r="BL345" s="32">
        <f t="shared" si="365"/>
        <v>-23.4689376226028</v>
      </c>
      <c r="BM345" s="31">
        <f t="shared" si="366"/>
        <v>16.8507473979361</v>
      </c>
      <c r="BO345">
        <f t="shared" si="367"/>
        <v>0</v>
      </c>
      <c r="BP345">
        <f t="shared" si="368"/>
        <v>0</v>
      </c>
    </row>
    <row r="346" spans="14:68">
      <c r="N346" s="7">
        <v>28</v>
      </c>
      <c r="O346" s="18">
        <f t="shared" si="318"/>
        <v>19054.6071796325</v>
      </c>
      <c r="P346" s="86" t="str">
        <f t="shared" si="319"/>
        <v>163,636363636364</v>
      </c>
      <c r="Q346" s="4" t="str">
        <f t="shared" si="320"/>
        <v>1+731,402526594347i</v>
      </c>
      <c r="R346" s="4">
        <f t="shared" si="331"/>
        <v>731.40321021212</v>
      </c>
      <c r="S346" s="4">
        <f t="shared" si="332"/>
        <v>1.56942909146206</v>
      </c>
      <c r="T346" s="4" t="str">
        <f t="shared" si="321"/>
        <v>1+1,87726648492549i</v>
      </c>
      <c r="U346" s="4">
        <f t="shared" si="333"/>
        <v>2.12700010705794</v>
      </c>
      <c r="V346" s="4">
        <f t="shared" si="334"/>
        <v>1.08134044912247</v>
      </c>
      <c r="W346" t="str">
        <f t="shared" si="322"/>
        <v>1-1,79585441797719i</v>
      </c>
      <c r="X346" s="4">
        <f t="shared" si="335"/>
        <v>2.0555031234635</v>
      </c>
      <c r="Y346" s="4">
        <f t="shared" si="336"/>
        <v>-1.06271836734656</v>
      </c>
      <c r="Z346" t="str">
        <f t="shared" si="323"/>
        <v>0,997036097512081+0,371998415152418i</v>
      </c>
      <c r="AA346" s="4">
        <f t="shared" si="337"/>
        <v>1.06417282460042</v>
      </c>
      <c r="AB346" s="4">
        <f t="shared" si="338"/>
        <v>0.357107616484072</v>
      </c>
      <c r="AC346" s="67" t="str">
        <f t="shared" si="339"/>
        <v>-0,304033341801109-0,867432746463573i</v>
      </c>
      <c r="AD346" s="68">
        <f t="shared" si="340"/>
        <v>-0.73207107442072</v>
      </c>
      <c r="AE346" s="31">
        <f t="shared" si="341"/>
        <v>-109.315455750834</v>
      </c>
      <c r="AF346" s="32" t="str">
        <f t="shared" si="342"/>
        <v>748,315388573934</v>
      </c>
      <c r="AG346" s="32" t="str">
        <f t="shared" si="324"/>
        <v>1+595,95761426206i</v>
      </c>
      <c r="AH346" s="32">
        <f t="shared" si="343"/>
        <v>595.95845324731</v>
      </c>
      <c r="AI346" s="32">
        <f t="shared" si="344"/>
        <v>1.5691183566884</v>
      </c>
      <c r="AJ346" s="32" t="str">
        <f t="shared" si="325"/>
        <v>1+1,87726648492549i</v>
      </c>
      <c r="AK346" s="32">
        <f t="shared" si="345"/>
        <v>2.12700010705794</v>
      </c>
      <c r="AL346" s="32">
        <f t="shared" si="346"/>
        <v>1.08134044912247</v>
      </c>
      <c r="AM346" s="32" t="str">
        <f t="shared" si="326"/>
        <v>1-0,319974854694999i</v>
      </c>
      <c r="AN346" s="32">
        <f t="shared" si="347"/>
        <v>1.04994471646706</v>
      </c>
      <c r="AO346" s="32">
        <f t="shared" si="348"/>
        <v>-0.309680134774191</v>
      </c>
      <c r="AP346" s="30" t="str">
        <f t="shared" si="349"/>
        <v>1,95878342913912-2,00660788693432i</v>
      </c>
      <c r="AQ346" s="32">
        <f t="shared" si="350"/>
        <v>8.95605272313824</v>
      </c>
      <c r="AR346" s="31">
        <f t="shared" si="351"/>
        <v>-45.6909801648537</v>
      </c>
      <c r="AS346" t="str">
        <f t="shared" si="327"/>
        <v>-0,0000504684572142411</v>
      </c>
      <c r="AT346" t="str">
        <f t="shared" si="328"/>
        <v>0,0269018991812982i</v>
      </c>
      <c r="AU346">
        <f t="shared" si="352"/>
        <v>0.0269018991812982</v>
      </c>
      <c r="AV346">
        <f t="shared" si="353"/>
        <v>1.5707963267949</v>
      </c>
      <c r="AW346" t="str">
        <f t="shared" si="329"/>
        <v>1+1,37732789511083i</v>
      </c>
      <c r="AX346">
        <f t="shared" si="354"/>
        <v>1.70206701708553</v>
      </c>
      <c r="AY346">
        <f t="shared" si="355"/>
        <v>0.942804475312562</v>
      </c>
      <c r="AZ346" t="str">
        <f t="shared" si="330"/>
        <v>1+65,8479953258302i</v>
      </c>
      <c r="BA346">
        <f t="shared" si="356"/>
        <v>65.8555881336623</v>
      </c>
      <c r="BB346">
        <f t="shared" si="357"/>
        <v>1.55561100294132</v>
      </c>
      <c r="BC346" s="30" t="str">
        <f t="shared" si="358"/>
        <v>-0,0417489870186009+0,0593780627893694i</v>
      </c>
      <c r="BD346" s="32">
        <f t="shared" si="359"/>
        <v>-22.7829387050274</v>
      </c>
      <c r="BE346" s="31">
        <f t="shared" si="360"/>
        <v>125.111227691195</v>
      </c>
      <c r="BF346" s="30" t="str">
        <f t="shared" si="361"/>
        <v>0,0641995601251455+0,018161527612089i</v>
      </c>
      <c r="BG346" s="68">
        <f t="shared" si="362"/>
        <v>-23.5150097794481</v>
      </c>
      <c r="BH346" s="31">
        <f t="shared" si="363"/>
        <v>15.7957719403612</v>
      </c>
      <c r="BI346" s="30" t="str">
        <f t="shared" si="316"/>
        <v>0,0373712651486502+0,200082612069242i</v>
      </c>
      <c r="BJ346" s="68">
        <f t="shared" si="364"/>
        <v>-13.8268859818891</v>
      </c>
      <c r="BK346" s="31">
        <f t="shared" si="317"/>
        <v>79.4202475263413</v>
      </c>
      <c r="BL346" s="32">
        <f t="shared" si="365"/>
        <v>-23.5150097794481</v>
      </c>
      <c r="BM346" s="31">
        <f t="shared" si="366"/>
        <v>15.7957719403612</v>
      </c>
      <c r="BO346">
        <f t="shared" si="367"/>
        <v>0</v>
      </c>
      <c r="BP346">
        <f t="shared" si="368"/>
        <v>0</v>
      </c>
    </row>
    <row r="347" spans="14:68">
      <c r="N347" s="7">
        <v>29</v>
      </c>
      <c r="O347" s="18">
        <f t="shared" si="318"/>
        <v>19498.4459975805</v>
      </c>
      <c r="P347" s="86" t="str">
        <f t="shared" si="319"/>
        <v>163,636363636364</v>
      </c>
      <c r="Q347" s="4" t="str">
        <f t="shared" si="320"/>
        <v>1+748,439080000429i</v>
      </c>
      <c r="R347" s="4">
        <f t="shared" si="331"/>
        <v>748.439748057176</v>
      </c>
      <c r="S347" s="4">
        <f t="shared" si="332"/>
        <v>1.56946021350037</v>
      </c>
      <c r="T347" s="4" t="str">
        <f t="shared" si="321"/>
        <v>1+1,92099363866777i</v>
      </c>
      <c r="U347" s="4">
        <f t="shared" si="333"/>
        <v>2.16569078120632</v>
      </c>
      <c r="V347" s="4">
        <f t="shared" si="334"/>
        <v>1.09083323691423</v>
      </c>
      <c r="W347" t="str">
        <f t="shared" si="322"/>
        <v>1-1,83768524107248i</v>
      </c>
      <c r="X347" s="4">
        <f t="shared" si="335"/>
        <v>2.09214890609049</v>
      </c>
      <c r="Y347" s="4">
        <f t="shared" si="336"/>
        <v>-1.07244567218817</v>
      </c>
      <c r="Z347" t="str">
        <f t="shared" si="323"/>
        <v>0,996896413091261+0,380663371365014i</v>
      </c>
      <c r="AA347" s="4">
        <f t="shared" si="337"/>
        <v>1.06710217914368</v>
      </c>
      <c r="AB347" s="4">
        <f t="shared" si="338"/>
        <v>0.364761249550626</v>
      </c>
      <c r="AC347" s="67" t="str">
        <f t="shared" si="339"/>
        <v>-0,313993564421374-0,873624067179788i</v>
      </c>
      <c r="AD347" s="68">
        <f t="shared" si="340"/>
        <v>-0.645879824499305</v>
      </c>
      <c r="AE347" s="31">
        <f t="shared" si="341"/>
        <v>-109.769196622114</v>
      </c>
      <c r="AF347" s="32" t="str">
        <f t="shared" si="342"/>
        <v>748,315388573934</v>
      </c>
      <c r="AG347" s="32" t="str">
        <f t="shared" si="324"/>
        <v>1+609,83925037072i</v>
      </c>
      <c r="AH347" s="32">
        <f t="shared" si="343"/>
        <v>609.84007025836</v>
      </c>
      <c r="AI347" s="32">
        <f t="shared" si="344"/>
        <v>1.56915655188191</v>
      </c>
      <c r="AJ347" s="32" t="str">
        <f t="shared" si="325"/>
        <v>1+1,92099363866777i</v>
      </c>
      <c r="AK347" s="32">
        <f t="shared" si="345"/>
        <v>2.16569078120632</v>
      </c>
      <c r="AL347" s="32">
        <f t="shared" si="346"/>
        <v>1.09083323691423</v>
      </c>
      <c r="AM347" s="32" t="str">
        <f t="shared" si="326"/>
        <v>1-0,327428026515443i</v>
      </c>
      <c r="AN347" s="32">
        <f t="shared" si="347"/>
        <v>1.05224004511699</v>
      </c>
      <c r="AO347" s="32">
        <f t="shared" si="348"/>
        <v>-0.31642639624312</v>
      </c>
      <c r="AP347" s="30" t="str">
        <f t="shared" si="349"/>
        <v>1,95868884930954-1,99566929658615i</v>
      </c>
      <c r="AQ347" s="32">
        <f t="shared" si="350"/>
        <v>8.93159986120062</v>
      </c>
      <c r="AR347" s="31">
        <f t="shared" si="351"/>
        <v>-45.5358042216198</v>
      </c>
      <c r="AS347" t="str">
        <f t="shared" si="327"/>
        <v>-0,0000504684572142411</v>
      </c>
      <c r="AT347" t="str">
        <f t="shared" si="328"/>
        <v>0,0275285249112658i</v>
      </c>
      <c r="AU347">
        <f t="shared" si="352"/>
        <v>0.0275285249112658</v>
      </c>
      <c r="AV347">
        <f t="shared" si="353"/>
        <v>1.5707963267949</v>
      </c>
      <c r="AW347" t="str">
        <f t="shared" si="329"/>
        <v>1+1,4094099831397i</v>
      </c>
      <c r="AX347">
        <f t="shared" si="354"/>
        <v>1.72813092691898</v>
      </c>
      <c r="AY347">
        <f t="shared" si="355"/>
        <v>0.953711792407477</v>
      </c>
      <c r="AZ347" t="str">
        <f t="shared" si="330"/>
        <v>1+67,3817921726575i</v>
      </c>
      <c r="BA347">
        <f t="shared" si="356"/>
        <v>67.3892121663342</v>
      </c>
      <c r="BB347">
        <f t="shared" si="357"/>
        <v>1.55595661177743</v>
      </c>
      <c r="BC347" s="30" t="str">
        <f t="shared" si="358"/>
        <v>-0,0404991556966819+0,0589132293318865i</v>
      </c>
      <c r="BD347" s="32">
        <f t="shared" si="359"/>
        <v>-22.9149835048756</v>
      </c>
      <c r="BE347" s="31">
        <f t="shared" si="360"/>
        <v>124.506086383517</v>
      </c>
      <c r="BF347" s="30" t="str">
        <f t="shared" si="361"/>
        <v>0,0641844892728756+0,0168826622475898i</v>
      </c>
      <c r="BG347" s="68">
        <f t="shared" si="362"/>
        <v>-23.5608633293749</v>
      </c>
      <c r="BH347" s="31">
        <f t="shared" si="363"/>
        <v>14.7368897614027</v>
      </c>
      <c r="BI347" s="30" t="str">
        <f t="shared" si="316"/>
        <v>0,0382460782708427+0,196215606930712i</v>
      </c>
      <c r="BJ347" s="68">
        <f t="shared" si="364"/>
        <v>-13.983383643675</v>
      </c>
      <c r="BK347" s="31">
        <f t="shared" si="317"/>
        <v>78.9702821618973</v>
      </c>
      <c r="BL347" s="32">
        <f t="shared" si="365"/>
        <v>-23.5608633293749</v>
      </c>
      <c r="BM347" s="31">
        <f t="shared" si="366"/>
        <v>14.7368897614027</v>
      </c>
      <c r="BO347">
        <f t="shared" si="367"/>
        <v>0</v>
      </c>
      <c r="BP347">
        <f t="shared" si="368"/>
        <v>0</v>
      </c>
    </row>
    <row r="348" spans="14:68">
      <c r="N348" s="7">
        <v>30</v>
      </c>
      <c r="O348" s="18">
        <f t="shared" si="318"/>
        <v>19952.6231496888</v>
      </c>
      <c r="P348" s="86" t="str">
        <f t="shared" si="319"/>
        <v>163,636363636364</v>
      </c>
      <c r="Q348" s="4" t="str">
        <f t="shared" si="320"/>
        <v>1+765,872465713495i</v>
      </c>
      <c r="R348" s="4">
        <f t="shared" si="331"/>
        <v>765.873118563427</v>
      </c>
      <c r="S348" s="4">
        <f t="shared" si="332"/>
        <v>1.5694906271171</v>
      </c>
      <c r="T348" s="4" t="str">
        <f t="shared" si="321"/>
        <v>1+1,96573932866464i</v>
      </c>
      <c r="U348" s="4">
        <f t="shared" si="333"/>
        <v>2.20547752386165</v>
      </c>
      <c r="V348" s="4">
        <f t="shared" si="334"/>
        <v>1.10020148704884</v>
      </c>
      <c r="W348" t="str">
        <f t="shared" si="322"/>
        <v>1-1,88049042920724i</v>
      </c>
      <c r="X348" s="4">
        <f t="shared" si="335"/>
        <v>2.12984606353136</v>
      </c>
      <c r="Y348" s="4">
        <f t="shared" si="336"/>
        <v>-1.08205210794343</v>
      </c>
      <c r="Z348" t="str">
        <f t="shared" si="323"/>
        <v>0,996750145546502+0,389530160335786i</v>
      </c>
      <c r="AA348" s="4">
        <f t="shared" si="337"/>
        <v>1.07016101520201</v>
      </c>
      <c r="AB348" s="4">
        <f t="shared" si="338"/>
        <v>0.372550446985695</v>
      </c>
      <c r="AC348" s="67" t="str">
        <f t="shared" si="339"/>
        <v>-0,32430568487196-0,879973496202458i</v>
      </c>
      <c r="AD348" s="68">
        <f t="shared" si="340"/>
        <v>-0.557505615655345</v>
      </c>
      <c r="AE348" s="31">
        <f t="shared" si="341"/>
        <v>-110.230874363621</v>
      </c>
      <c r="AF348" s="32" t="str">
        <f t="shared" si="342"/>
        <v>748,315388573934</v>
      </c>
      <c r="AG348" s="32" t="str">
        <f t="shared" si="324"/>
        <v>1+624,044231322107i</v>
      </c>
      <c r="AH348" s="32">
        <f t="shared" si="343"/>
        <v>624.04503254685</v>
      </c>
      <c r="AI348" s="32">
        <f t="shared" si="344"/>
        <v>1.56919387765129</v>
      </c>
      <c r="AJ348" s="32" t="str">
        <f t="shared" si="325"/>
        <v>1+1,96573932866464i</v>
      </c>
      <c r="AK348" s="32">
        <f t="shared" si="345"/>
        <v>2.20547752386165</v>
      </c>
      <c r="AL348" s="32">
        <f t="shared" si="346"/>
        <v>1.10020148704884</v>
      </c>
      <c r="AM348" s="32" t="str">
        <f t="shared" si="326"/>
        <v>1-0,33505480500957i</v>
      </c>
      <c r="AN348" s="32">
        <f t="shared" si="347"/>
        <v>1.05463819500339</v>
      </c>
      <c r="AO348" s="32">
        <f t="shared" si="348"/>
        <v>-0.323299077945038</v>
      </c>
      <c r="AP348" s="30" t="str">
        <f t="shared" si="349"/>
        <v>1,95859852625112-1,98578882255079i</v>
      </c>
      <c r="AQ348" s="32">
        <f t="shared" si="350"/>
        <v>8.90949755512508</v>
      </c>
      <c r="AR348" s="31">
        <f t="shared" si="351"/>
        <v>-45.3949572919932</v>
      </c>
      <c r="AS348" t="str">
        <f t="shared" si="327"/>
        <v>-0,0000504684572142411</v>
      </c>
      <c r="AT348" t="str">
        <f t="shared" si="328"/>
        <v>0,0281697466295244i</v>
      </c>
      <c r="AU348">
        <f t="shared" si="352"/>
        <v>0.0281697466295244</v>
      </c>
      <c r="AV348">
        <f t="shared" si="353"/>
        <v>1.5707963267949</v>
      </c>
      <c r="AW348" t="str">
        <f t="shared" si="329"/>
        <v>1+1,44223935899739i</v>
      </c>
      <c r="AX348">
        <f t="shared" si="354"/>
        <v>1.7550083671143</v>
      </c>
      <c r="AY348">
        <f t="shared" si="355"/>
        <v>0.964536477569643</v>
      </c>
      <c r="AZ348" t="str">
        <f t="shared" si="330"/>
        <v>1+68,9513157375987i</v>
      </c>
      <c r="BA348">
        <f t="shared" si="356"/>
        <v>68.9585668495657</v>
      </c>
      <c r="BB348">
        <f t="shared" si="357"/>
        <v>1.55629435702181</v>
      </c>
      <c r="BC348" s="30" t="str">
        <f t="shared" si="358"/>
        <v>-0,0392681889145846+0,0584257112495084i</v>
      </c>
      <c r="BD348" s="32">
        <f t="shared" si="359"/>
        <v>-23.0490775237954</v>
      </c>
      <c r="BE348" s="31">
        <f t="shared" si="360"/>
        <v>123.90522898622</v>
      </c>
      <c r="BF348" s="30" t="str">
        <f t="shared" si="361"/>
        <v>0,064147974295971+0,0156071751878024i</v>
      </c>
      <c r="BG348" s="68">
        <f t="shared" si="362"/>
        <v>-23.6065831394508</v>
      </c>
      <c r="BH348" s="31">
        <f t="shared" si="363"/>
        <v>13.6743546225998</v>
      </c>
      <c r="BI348" s="30" t="str">
        <f t="shared" si="316"/>
        <v>0,0391105074121978+0,192410842576856i</v>
      </c>
      <c r="BJ348" s="68">
        <f t="shared" si="364"/>
        <v>-14.1395799686703</v>
      </c>
      <c r="BK348" s="31">
        <f t="shared" si="317"/>
        <v>78.5102716942271</v>
      </c>
      <c r="BL348" s="32">
        <f t="shared" si="365"/>
        <v>-23.6065831394508</v>
      </c>
      <c r="BM348" s="31">
        <f t="shared" si="366"/>
        <v>13.6743546225998</v>
      </c>
      <c r="BO348">
        <f t="shared" si="367"/>
        <v>0</v>
      </c>
      <c r="BP348">
        <f t="shared" si="368"/>
        <v>0</v>
      </c>
    </row>
    <row r="349" spans="14:68">
      <c r="N349" s="7">
        <v>31</v>
      </c>
      <c r="O349" s="18">
        <f t="shared" si="318"/>
        <v>20417.3794466953</v>
      </c>
      <c r="P349" s="86" t="str">
        <f t="shared" si="319"/>
        <v>163,636363636364</v>
      </c>
      <c r="Q349" s="4" t="str">
        <f t="shared" si="320"/>
        <v>1+783,711927145399i</v>
      </c>
      <c r="R349" s="4">
        <f t="shared" si="331"/>
        <v>783.712565134664</v>
      </c>
      <c r="S349" s="4">
        <f t="shared" si="332"/>
        <v>1.56952034843773</v>
      </c>
      <c r="T349" s="4" t="str">
        <f t="shared" si="321"/>
        <v>1+2,01152727967319i</v>
      </c>
      <c r="U349" s="4">
        <f t="shared" si="333"/>
        <v>2.24638420508813</v>
      </c>
      <c r="V349" s="4">
        <f t="shared" si="334"/>
        <v>1.10944358823619</v>
      </c>
      <c r="W349" t="str">
        <f t="shared" si="322"/>
        <v>1-1,92429267825879i</v>
      </c>
      <c r="X349" s="4">
        <f t="shared" si="335"/>
        <v>2.16861760382055</v>
      </c>
      <c r="Y349" s="4">
        <f t="shared" si="336"/>
        <v>-1.09153567513866</v>
      </c>
      <c r="Z349" t="str">
        <f t="shared" si="323"/>
        <v>0,996596984624732+0,398603483353607i</v>
      </c>
      <c r="AA349" s="4">
        <f t="shared" si="337"/>
        <v>1.0733546882111</v>
      </c>
      <c r="AB349" s="4">
        <f t="shared" si="338"/>
        <v>0.380475832714404</v>
      </c>
      <c r="AC349" s="67" t="str">
        <f t="shared" si="339"/>
        <v>-0,334977299787315-0,886468146014671i</v>
      </c>
      <c r="AD349" s="68">
        <f t="shared" si="340"/>
        <v>-0.467064634492906</v>
      </c>
      <c r="AE349" s="31">
        <f t="shared" si="341"/>
        <v>-110.70050340627</v>
      </c>
      <c r="AF349" s="32" t="str">
        <f t="shared" si="342"/>
        <v>748,315388573934</v>
      </c>
      <c r="AG349" s="32" t="str">
        <f t="shared" si="324"/>
        <v>1+638,58008878514i</v>
      </c>
      <c r="AH349" s="32">
        <f t="shared" si="343"/>
        <v>638.580871771804</v>
      </c>
      <c r="AI349" s="32">
        <f t="shared" si="344"/>
        <v>1.56923035378675</v>
      </c>
      <c r="AJ349" s="32" t="str">
        <f t="shared" si="325"/>
        <v>1+2,01152727967319i</v>
      </c>
      <c r="AK349" s="32">
        <f t="shared" si="345"/>
        <v>2.24638420508813</v>
      </c>
      <c r="AL349" s="32">
        <f t="shared" si="346"/>
        <v>1.10944358823619</v>
      </c>
      <c r="AM349" s="32" t="str">
        <f t="shared" si="326"/>
        <v>1-0,342859233996287i</v>
      </c>
      <c r="AN349" s="32">
        <f t="shared" si="347"/>
        <v>1.057143535352</v>
      </c>
      <c r="AO349" s="32">
        <f t="shared" si="348"/>
        <v>-0.330299226008076</v>
      </c>
      <c r="AP349" s="30" t="str">
        <f t="shared" si="349"/>
        <v>1,95851226837959-1,97696122700216i</v>
      </c>
      <c r="AQ349" s="32">
        <f t="shared" si="350"/>
        <v>8.88973532023641</v>
      </c>
      <c r="AR349" s="31">
        <f t="shared" si="351"/>
        <v>-45.2685927687184</v>
      </c>
      <c r="AS349" t="str">
        <f t="shared" si="327"/>
        <v>-0,0000504684572142411</v>
      </c>
      <c r="AT349" t="str">
        <f t="shared" si="328"/>
        <v>0,0288259043203168i</v>
      </c>
      <c r="AU349">
        <f t="shared" si="352"/>
        <v>0.0288259043203168</v>
      </c>
      <c r="AV349">
        <f t="shared" si="353"/>
        <v>1.5707963267949</v>
      </c>
      <c r="AW349" t="str">
        <f t="shared" si="329"/>
        <v>1+1,47583342925352i</v>
      </c>
      <c r="AX349">
        <f t="shared" si="354"/>
        <v>1.78271823654278</v>
      </c>
      <c r="AY349">
        <f t="shared" si="355"/>
        <v>0.975274123350563</v>
      </c>
      <c r="AZ349" t="str">
        <f t="shared" si="330"/>
        <v>1+70,5573982028222i</v>
      </c>
      <c r="BA349">
        <f t="shared" si="356"/>
        <v>70.5644842760975</v>
      </c>
      <c r="BB349">
        <f t="shared" si="357"/>
        <v>1.55662441744306</v>
      </c>
      <c r="BC349" s="30" t="str">
        <f t="shared" si="358"/>
        <v>-0,0380569377596715+0,0579165031785483i</v>
      </c>
      <c r="BD349" s="32">
        <f t="shared" si="359"/>
        <v>-23.1851889456094</v>
      </c>
      <c r="BE349" s="31">
        <f t="shared" si="360"/>
        <v>123.308918270189</v>
      </c>
      <c r="BF349" s="30" t="str">
        <f t="shared" si="361"/>
        <v>0,0640893454452492+0,0143355492109382i</v>
      </c>
      <c r="BG349" s="68">
        <f t="shared" si="362"/>
        <v>-23.6522535801023</v>
      </c>
      <c r="BH349" s="31">
        <f t="shared" si="363"/>
        <v>12.6084148639197</v>
      </c>
      <c r="BI349" s="30" t="str">
        <f t="shared" si="316"/>
        <v>0,0399637016882623+0,188667272386137i</v>
      </c>
      <c r="BJ349" s="68">
        <f t="shared" si="364"/>
        <v>-14.295453625373</v>
      </c>
      <c r="BK349" s="31">
        <f t="shared" si="317"/>
        <v>78.0403255014708</v>
      </c>
      <c r="BL349" s="32">
        <f t="shared" si="365"/>
        <v>-23.6522535801023</v>
      </c>
      <c r="BM349" s="31">
        <f t="shared" si="366"/>
        <v>12.6084148639197</v>
      </c>
      <c r="BO349">
        <f t="shared" si="367"/>
        <v>0</v>
      </c>
      <c r="BP349">
        <f t="shared" si="368"/>
        <v>0</v>
      </c>
    </row>
    <row r="350" spans="14:68">
      <c r="N350" s="7">
        <v>32</v>
      </c>
      <c r="O350" s="18">
        <f t="shared" si="318"/>
        <v>20892.9613085404</v>
      </c>
      <c r="P350" s="86" t="str">
        <f t="shared" si="319"/>
        <v>163,636363636364</v>
      </c>
      <c r="Q350" s="4" t="str">
        <f t="shared" si="320"/>
        <v>1+801,966923014736i</v>
      </c>
      <c r="R350" s="4">
        <f t="shared" si="331"/>
        <v>801.967546481604</v>
      </c>
      <c r="S350" s="4">
        <f t="shared" si="332"/>
        <v>1.56954939322068</v>
      </c>
      <c r="T350" s="4" t="str">
        <f t="shared" si="321"/>
        <v>1+2,05838176907116i</v>
      </c>
      <c r="U350" s="4">
        <f t="shared" si="333"/>
        <v>2.28843516561962</v>
      </c>
      <c r="V350" s="4">
        <f t="shared" si="334"/>
        <v>1.11855812441222</v>
      </c>
      <c r="W350" t="str">
        <f t="shared" si="322"/>
        <v>1-1,9691152127594i</v>
      </c>
      <c r="X350" s="4">
        <f t="shared" si="335"/>
        <v>2.20848697553789</v>
      </c>
      <c r="Y350" s="4">
        <f t="shared" si="336"/>
        <v>-1.10089457776827</v>
      </c>
      <c r="Z350" t="str">
        <f t="shared" si="323"/>
        <v>0,996436605451101+0,407888151214446i</v>
      </c>
      <c r="AA350" s="4">
        <f t="shared" si="337"/>
        <v>1.07668874452371</v>
      </c>
      <c r="AB350" s="4">
        <f t="shared" si="338"/>
        <v>0.388537917388537</v>
      </c>
      <c r="AC350" s="67" t="str">
        <f t="shared" si="339"/>
        <v>-0,346015752563849-0,893094578504658i</v>
      </c>
      <c r="AD350" s="68">
        <f t="shared" si="340"/>
        <v>-0.374673836429308</v>
      </c>
      <c r="AE350" s="31">
        <f t="shared" si="341"/>
        <v>-111.178092142099</v>
      </c>
      <c r="AF350" s="32" t="str">
        <f t="shared" si="342"/>
        <v>748,315388573934</v>
      </c>
      <c r="AG350" s="32" t="str">
        <f t="shared" si="324"/>
        <v>1+653,454529863859i</v>
      </c>
      <c r="AH350" s="32">
        <f t="shared" si="343"/>
        <v>653.455295027592</v>
      </c>
      <c r="AI350" s="32">
        <f t="shared" si="344"/>
        <v>1.56926599962802</v>
      </c>
      <c r="AJ350" s="32" t="str">
        <f t="shared" si="325"/>
        <v>1+2,05838176907116i</v>
      </c>
      <c r="AK350" s="32">
        <f t="shared" si="345"/>
        <v>2.28843516561962</v>
      </c>
      <c r="AL350" s="32">
        <f t="shared" si="346"/>
        <v>1.11855812441222</v>
      </c>
      <c r="AM350" s="32" t="str">
        <f t="shared" si="326"/>
        <v>1-0,350845451487149i</v>
      </c>
      <c r="AN350" s="32">
        <f t="shared" si="347"/>
        <v>1.05976060071566</v>
      </c>
      <c r="AO350" s="32">
        <f t="shared" si="348"/>
        <v>-0.337427806925533</v>
      </c>
      <c r="AP350" s="30" t="str">
        <f t="shared" si="349"/>
        <v>1,95842989273317-1,96918183030209i</v>
      </c>
      <c r="AQ350" s="32">
        <f t="shared" si="350"/>
        <v>8.8723035420409</v>
      </c>
      <c r="AR350" s="31">
        <f t="shared" si="351"/>
        <v>-45.1568482703629</v>
      </c>
      <c r="AS350" t="str">
        <f t="shared" si="327"/>
        <v>-0,0000504684572142411</v>
      </c>
      <c r="AT350" t="str">
        <f t="shared" si="328"/>
        <v>0,0294973458871357i</v>
      </c>
      <c r="AU350">
        <f t="shared" si="352"/>
        <v>0.0294973458871357</v>
      </c>
      <c r="AV350">
        <f t="shared" si="353"/>
        <v>1.5707963267949</v>
      </c>
      <c r="AW350" t="str">
        <f t="shared" si="329"/>
        <v>1+1,51021000592881i</v>
      </c>
      <c r="AX350">
        <f t="shared" si="354"/>
        <v>1.8112797304689</v>
      </c>
      <c r="AY350">
        <f t="shared" si="355"/>
        <v>0.985920518863396</v>
      </c>
      <c r="AZ350" t="str">
        <f t="shared" si="330"/>
        <v>1+72,2008911345111i</v>
      </c>
      <c r="BA350">
        <f t="shared" si="356"/>
        <v>72.207815924715</v>
      </c>
      <c r="BB350">
        <f t="shared" si="357"/>
        <v>1.55694696775576</v>
      </c>
      <c r="BC350" s="30" t="str">
        <f t="shared" si="358"/>
        <v>-0,0368661851755666+0,0573866308263359i</v>
      </c>
      <c r="BD350" s="32">
        <f t="shared" si="359"/>
        <v>-23.3232845988738</v>
      </c>
      <c r="BE350" s="31">
        <f t="shared" si="360"/>
        <v>122.717405511875</v>
      </c>
      <c r="BF350" s="30" t="str">
        <f t="shared" si="361"/>
        <v>0,0640079696773308+0,0130683118579689i</v>
      </c>
      <c r="BG350" s="68">
        <f t="shared" si="362"/>
        <v>-23.6979584353031</v>
      </c>
      <c r="BH350" s="31">
        <f t="shared" si="363"/>
        <v>11.539313369776</v>
      </c>
      <c r="BI350" s="30" t="str">
        <f t="shared" si="316"/>
        <v>0,0408048716466084+0,184983915253817i</v>
      </c>
      <c r="BJ350" s="68">
        <f t="shared" si="364"/>
        <v>-14.4509810568329</v>
      </c>
      <c r="BK350" s="31">
        <f t="shared" si="317"/>
        <v>77.5605572415125</v>
      </c>
      <c r="BL350" s="32">
        <f t="shared" si="365"/>
        <v>-23.6979584353031</v>
      </c>
      <c r="BM350" s="31">
        <f t="shared" si="366"/>
        <v>11.539313369776</v>
      </c>
      <c r="BO350">
        <f t="shared" si="367"/>
        <v>0</v>
      </c>
      <c r="BP350">
        <f t="shared" si="368"/>
        <v>0</v>
      </c>
    </row>
    <row r="351" spans="14:68">
      <c r="N351" s="7">
        <v>33</v>
      </c>
      <c r="O351" s="18">
        <f t="shared" si="318"/>
        <v>21379.6208950223</v>
      </c>
      <c r="P351" s="86" t="str">
        <f t="shared" si="319"/>
        <v>163,636363636364</v>
      </c>
      <c r="Q351" s="4" t="str">
        <f t="shared" si="320"/>
        <v>1+820,647132361937i</v>
      </c>
      <c r="R351" s="4">
        <f t="shared" si="331"/>
        <v>820.647741636977</v>
      </c>
      <c r="S351" s="4">
        <f t="shared" si="332"/>
        <v>1.56957777686569</v>
      </c>
      <c r="T351" s="4" t="str">
        <f t="shared" si="321"/>
        <v>1+2,10632763972897i</v>
      </c>
      <c r="U351" s="4">
        <f t="shared" si="333"/>
        <v>2.33165523306646</v>
      </c>
      <c r="V351" s="4">
        <f t="shared" si="334"/>
        <v>1.12754386975793</v>
      </c>
      <c r="W351" t="str">
        <f t="shared" si="322"/>
        <v>1-2,01498179821011i</v>
      </c>
      <c r="X351" s="4">
        <f t="shared" si="335"/>
        <v>2.24947808327133</v>
      </c>
      <c r="Y351" s="4">
        <f t="shared" si="336"/>
        <v>-1.11012721925228</v>
      </c>
      <c r="Z351" t="str">
        <f t="shared" si="323"/>
        <v>0,996268667839879+0,417389086772094i</v>
      </c>
      <c r="AA351" s="4">
        <f t="shared" si="337"/>
        <v>1.08016892580554</v>
      </c>
      <c r="AB351" s="4">
        <f t="shared" si="338"/>
        <v>0.396737091629145</v>
      </c>
      <c r="AC351" s="67" t="str">
        <f t="shared" si="339"/>
        <v>-0,357428092312488-0,899838797972266i</v>
      </c>
      <c r="AD351" s="68">
        <f t="shared" si="340"/>
        <v>-0.280450749168022</v>
      </c>
      <c r="AE351" s="31">
        <f t="shared" si="341"/>
        <v>-111.663642591347</v>
      </c>
      <c r="AF351" s="32" t="str">
        <f t="shared" si="342"/>
        <v>748,315388573934</v>
      </c>
      <c r="AG351" s="32" t="str">
        <f t="shared" si="324"/>
        <v>1+668,6754411838i</v>
      </c>
      <c r="AH351" s="32">
        <f t="shared" si="343"/>
        <v>668.676188930299</v>
      </c>
      <c r="AI351" s="32">
        <f t="shared" si="344"/>
        <v>1.56930083407465</v>
      </c>
      <c r="AJ351" s="32" t="str">
        <f t="shared" si="325"/>
        <v>1+2,10632763972897i</v>
      </c>
      <c r="AK351" s="32">
        <f t="shared" si="345"/>
        <v>2.33165523306646</v>
      </c>
      <c r="AL351" s="32">
        <f t="shared" si="346"/>
        <v>1.12754386975793</v>
      </c>
      <c r="AM351" s="32" t="str">
        <f t="shared" si="326"/>
        <v>1-0,359017691880376i</v>
      </c>
      <c r="AN351" s="32">
        <f t="shared" si="347"/>
        <v>1.06249409555212</v>
      </c>
      <c r="AO351" s="32">
        <f t="shared" si="348"/>
        <v>-0.34468570143155</v>
      </c>
      <c r="AP351" s="30" t="str">
        <f t="shared" si="349"/>
        <v>1,9583512245846-1,96244650852322i</v>
      </c>
      <c r="AQ351" s="32">
        <f t="shared" si="350"/>
        <v>8.85719354961141</v>
      </c>
      <c r="AR351" s="31">
        <f t="shared" si="351"/>
        <v>-45.0598455763935</v>
      </c>
      <c r="AS351" t="str">
        <f t="shared" si="327"/>
        <v>-0,0000504684572142411</v>
      </c>
      <c r="AT351" t="str">
        <f t="shared" si="328"/>
        <v>0,0301844273371874i</v>
      </c>
      <c r="AU351">
        <f t="shared" si="352"/>
        <v>0.0301844273371874</v>
      </c>
      <c r="AV351">
        <f t="shared" si="353"/>
        <v>1.5707963267949</v>
      </c>
      <c r="AW351" t="str">
        <f t="shared" si="329"/>
        <v>1+1,54538731593922i</v>
      </c>
      <c r="AX351">
        <f t="shared" si="354"/>
        <v>1.84071235022364</v>
      </c>
      <c r="AY351">
        <f t="shared" si="355"/>
        <v>0.99647165510605</v>
      </c>
      <c r="AZ351" t="str">
        <f t="shared" si="330"/>
        <v>1+73,8826659343706i</v>
      </c>
      <c r="BA351">
        <f t="shared" si="356"/>
        <v>73.8894331117096</v>
      </c>
      <c r="BB351">
        <f t="shared" si="357"/>
        <v>1.55726217871176</v>
      </c>
      <c r="BC351" s="30" t="str">
        <f t="shared" si="358"/>
        <v>-0,0356966451360499+0,0568371457524284i</v>
      </c>
      <c r="BD351" s="32">
        <f t="shared" si="359"/>
        <v>-23.4633300704917</v>
      </c>
      <c r="BE351" s="31">
        <f t="shared" si="360"/>
        <v>122.130930193539</v>
      </c>
      <c r="BF351" s="30" t="str">
        <f t="shared" si="361"/>
        <v>0,0639032526869738+0,0118060336720884i</v>
      </c>
      <c r="BG351" s="68">
        <f t="shared" si="362"/>
        <v>-23.7437808196597</v>
      </c>
      <c r="BH351" s="31">
        <f t="shared" si="363"/>
        <v>10.4672876021914</v>
      </c>
      <c r="BI351" s="30" t="str">
        <f t="shared" si="316"/>
        <v>0,0416332895205332+0,181359850599395i</v>
      </c>
      <c r="BJ351" s="68">
        <f t="shared" si="364"/>
        <v>-14.6061365208803</v>
      </c>
      <c r="BK351" s="31">
        <f t="shared" si="317"/>
        <v>77.0710846171451</v>
      </c>
      <c r="BL351" s="32">
        <f t="shared" si="365"/>
        <v>-23.7437808196597</v>
      </c>
      <c r="BM351" s="31">
        <f t="shared" si="366"/>
        <v>10.4672876021914</v>
      </c>
      <c r="BO351">
        <f t="shared" si="367"/>
        <v>0</v>
      </c>
      <c r="BP351">
        <f t="shared" si="368"/>
        <v>0</v>
      </c>
    </row>
    <row r="352" spans="14:68">
      <c r="N352" s="7">
        <v>34</v>
      </c>
      <c r="O352" s="18">
        <f t="shared" si="318"/>
        <v>21877.6162394955</v>
      </c>
      <c r="P352" s="86" t="str">
        <f t="shared" si="319"/>
        <v>163,636363636364</v>
      </c>
      <c r="Q352" s="4" t="str">
        <f t="shared" si="320"/>
        <v>1+839,762459681267i</v>
      </c>
      <c r="R352" s="4">
        <f t="shared" si="331"/>
        <v>839.763055087524</v>
      </c>
      <c r="S352" s="4">
        <f t="shared" si="332"/>
        <v>1.56960551442195</v>
      </c>
      <c r="T352" s="4" t="str">
        <f t="shared" si="321"/>
        <v>1+2,15539031318192i</v>
      </c>
      <c r="U352" s="4">
        <f t="shared" si="333"/>
        <v>2.376069738488</v>
      </c>
      <c r="V352" s="4">
        <f t="shared" si="334"/>
        <v>1.13639978331145</v>
      </c>
      <c r="W352" t="str">
        <f t="shared" si="322"/>
        <v>1-2,06191675368168i</v>
      </c>
      <c r="X352" s="4">
        <f t="shared" si="335"/>
        <v>2.29161530347334</v>
      </c>
      <c r="Y352" s="4">
        <f t="shared" si="336"/>
        <v>-1.11923219788079</v>
      </c>
      <c r="Z352" t="str">
        <f t="shared" si="323"/>
        <v>0,996092815572876+0,427111327548348i</v>
      </c>
      <c r="AA352" s="4">
        <f t="shared" si="337"/>
        <v>1.08380117335054</v>
      </c>
      <c r="AB352" s="4">
        <f t="shared" si="338"/>
        <v>0.405073619222891</v>
      </c>
      <c r="AC352" s="67" t="str">
        <f t="shared" si="339"/>
        <v>-0,369221030912841-0,906686246726904i</v>
      </c>
      <c r="AD352" s="68">
        <f t="shared" si="340"/>
        <v>-0.184513281486305</v>
      </c>
      <c r="AE352" s="31">
        <f t="shared" si="341"/>
        <v>-112.157150060793</v>
      </c>
      <c r="AF352" s="32" t="str">
        <f t="shared" si="342"/>
        <v>748,315388573934</v>
      </c>
      <c r="AG352" s="32" t="str">
        <f t="shared" si="324"/>
        <v>1+684,250893073625i</v>
      </c>
      <c r="AH352" s="32">
        <f t="shared" si="343"/>
        <v>684.251623799355</v>
      </c>
      <c r="AI352" s="32">
        <f t="shared" si="344"/>
        <v>1.56933487559596</v>
      </c>
      <c r="AJ352" s="32" t="str">
        <f t="shared" si="325"/>
        <v>1+2,15539031318192i</v>
      </c>
      <c r="AK352" s="32">
        <f t="shared" si="345"/>
        <v>2.376069738488</v>
      </c>
      <c r="AL352" s="32">
        <f t="shared" si="346"/>
        <v>1.13639978331145</v>
      </c>
      <c r="AM352" s="32" t="str">
        <f t="shared" si="326"/>
        <v>1-0,367380288206i</v>
      </c>
      <c r="AN352" s="32">
        <f t="shared" si="347"/>
        <v>1.06534889879435</v>
      </c>
      <c r="AO352" s="32">
        <f t="shared" si="348"/>
        <v>-0.352073698212033</v>
      </c>
      <c r="AP352" s="30" t="str">
        <f t="shared" si="349"/>
        <v>1,95827609707049-1,95675169126641i</v>
      </c>
      <c r="AQ352" s="32">
        <f t="shared" si="350"/>
        <v>8.8443976811656</v>
      </c>
      <c r="AR352" s="31">
        <f t="shared" si="351"/>
        <v>-44.9776905761218</v>
      </c>
      <c r="AS352" t="str">
        <f t="shared" si="327"/>
        <v>-0,0000504684572142411</v>
      </c>
      <c r="AT352" t="str">
        <f t="shared" si="328"/>
        <v>0,0308875129701515i</v>
      </c>
      <c r="AU352">
        <f t="shared" si="352"/>
        <v>0.0308875129701515</v>
      </c>
      <c r="AV352">
        <f t="shared" si="353"/>
        <v>1.5707963267949</v>
      </c>
      <c r="AW352" t="str">
        <f t="shared" si="329"/>
        <v>1+1,58138401076017i</v>
      </c>
      <c r="AX352">
        <f t="shared" si="354"/>
        <v>1.87103591346824</v>
      </c>
      <c r="AY352">
        <f t="shared" si="355"/>
        <v>1.00692372929771</v>
      </c>
      <c r="AZ352" t="str">
        <f t="shared" si="330"/>
        <v>1+75,6036143016615i</v>
      </c>
      <c r="BA352">
        <f t="shared" si="356"/>
        <v>75.6102274528677</v>
      </c>
      <c r="BB352">
        <f t="shared" si="357"/>
        <v>1.55757021718936</v>
      </c>
      <c r="BC352" s="30" t="str">
        <f t="shared" si="358"/>
        <v>-0,034548962260811+0,0562691202072144i</v>
      </c>
      <c r="BD352" s="32">
        <f t="shared" si="359"/>
        <v>-23.6052898203143</v>
      </c>
      <c r="BE352" s="31">
        <f t="shared" si="360"/>
        <v>121.549719759893</v>
      </c>
      <c r="BF352" s="30" t="str">
        <f t="shared" si="361"/>
        <v>0,0637746408702097+0,0105493263490979i</v>
      </c>
      <c r="BG352" s="68">
        <f t="shared" si="362"/>
        <v>-23.7898031018006</v>
      </c>
      <c r="BH352" s="31">
        <f t="shared" si="363"/>
        <v>9.39256969910059</v>
      </c>
      <c r="BI352" s="30" t="str">
        <f t="shared" si="316"/>
        <v>0,0424482891576031+0,177794213440315i</v>
      </c>
      <c r="BJ352" s="68">
        <f t="shared" si="364"/>
        <v>-14.7608921391487</v>
      </c>
      <c r="BK352" s="31">
        <f t="shared" si="317"/>
        <v>76.5720291837715</v>
      </c>
      <c r="BL352" s="32">
        <f t="shared" si="365"/>
        <v>-23.7898031018006</v>
      </c>
      <c r="BM352" s="31">
        <f t="shared" si="366"/>
        <v>9.39256969910059</v>
      </c>
      <c r="BO352">
        <f t="shared" si="367"/>
        <v>0</v>
      </c>
      <c r="BP352">
        <f t="shared" si="368"/>
        <v>0</v>
      </c>
    </row>
    <row r="353" spans="14:68">
      <c r="N353" s="7">
        <v>35</v>
      </c>
      <c r="O353" s="18">
        <f t="shared" si="318"/>
        <v>22387.2113856834</v>
      </c>
      <c r="P353" s="86" t="str">
        <f t="shared" si="319"/>
        <v>163,636363636364</v>
      </c>
      <c r="Q353" s="4" t="str">
        <f t="shared" si="320"/>
        <v>1+859,323040172286i</v>
      </c>
      <c r="R353" s="4">
        <f t="shared" si="331"/>
        <v>859.323622025451</v>
      </c>
      <c r="S353" s="4">
        <f t="shared" si="332"/>
        <v>1.56963262059612</v>
      </c>
      <c r="T353" s="4" t="str">
        <f t="shared" si="321"/>
        <v>1+2,20559580310887i</v>
      </c>
      <c r="U353" s="4">
        <f t="shared" si="333"/>
        <v>2.42170453331769</v>
      </c>
      <c r="V353" s="4">
        <f t="shared" si="334"/>
        <v>1.14512500322676</v>
      </c>
      <c r="W353" t="str">
        <f t="shared" si="322"/>
        <v>1-2,10994496470874i</v>
      </c>
      <c r="X353" s="4">
        <f t="shared" si="335"/>
        <v>2.33492350069542</v>
      </c>
      <c r="Y353" s="4">
        <f t="shared" si="336"/>
        <v>-1.12820830180088</v>
      </c>
      <c r="Z353" t="str">
        <f t="shared" si="323"/>
        <v>0,995908675643859+0,437060028403952i</v>
      </c>
      <c r="AA353" s="4">
        <f t="shared" si="337"/>
        <v>1.08759163230101</v>
      </c>
      <c r="AB353" s="4">
        <f t="shared" si="338"/>
        <v>0.413547630302224</v>
      </c>
      <c r="AC353" s="67" t="str">
        <f t="shared" si="339"/>
        <v>-0,381400898290737-0,9136218035368i</v>
      </c>
      <c r="AD353" s="68">
        <f t="shared" si="340"/>
        <v>-0.0869795374106358</v>
      </c>
      <c r="AE353" s="31">
        <f t="shared" si="341"/>
        <v>-112.658602795185</v>
      </c>
      <c r="AF353" s="32" t="str">
        <f t="shared" si="342"/>
        <v>748,315388573934</v>
      </c>
      <c r="AG353" s="32" t="str">
        <f t="shared" si="324"/>
        <v>1+700,189143844084i</v>
      </c>
      <c r="AH353" s="32">
        <f t="shared" si="343"/>
        <v>700.189857936482</v>
      </c>
      <c r="AI353" s="32">
        <f t="shared" si="344"/>
        <v>1.56936814224093</v>
      </c>
      <c r="AJ353" s="32" t="str">
        <f t="shared" si="325"/>
        <v>1+2,20559580310887i</v>
      </c>
      <c r="AK353" s="32">
        <f t="shared" si="345"/>
        <v>2.42170453331769</v>
      </c>
      <c r="AL353" s="32">
        <f t="shared" si="346"/>
        <v>1.14512500322676</v>
      </c>
      <c r="AM353" s="32" t="str">
        <f t="shared" si="326"/>
        <v>1-0,375937674423282i</v>
      </c>
      <c r="AN353" s="32">
        <f t="shared" si="347"/>
        <v>1.06833006840151</v>
      </c>
      <c r="AO353" s="32">
        <f t="shared" si="348"/>
        <v>-0.359592487465815</v>
      </c>
      <c r="AP353" s="30" t="str">
        <f t="shared" si="349"/>
        <v>1,95820435083737-1,95209435977117i</v>
      </c>
      <c r="AQ353" s="32">
        <f t="shared" si="350"/>
        <v>8.83390934154929</v>
      </c>
      <c r="AR353" s="31">
        <f t="shared" si="351"/>
        <v>-44.9104732292959</v>
      </c>
      <c r="AS353" t="str">
        <f t="shared" si="327"/>
        <v>-0,0000504684572142411</v>
      </c>
      <c r="AT353" t="str">
        <f t="shared" si="328"/>
        <v>0,031606975571337i</v>
      </c>
      <c r="AU353">
        <f t="shared" si="352"/>
        <v>0.031606975571337</v>
      </c>
      <c r="AV353">
        <f t="shared" si="353"/>
        <v>1.5707963267949</v>
      </c>
      <c r="AW353" t="str">
        <f t="shared" si="329"/>
        <v>1+1,6182191763157i</v>
      </c>
      <c r="AX353">
        <f t="shared" si="354"/>
        <v>1.90227056503429</v>
      </c>
      <c r="AY353">
        <f t="shared" si="355"/>
        <v>1.01727314824346</v>
      </c>
      <c r="AZ353" t="str">
        <f t="shared" si="330"/>
        <v>1+77,3646487059869i</v>
      </c>
      <c r="BA353">
        <f t="shared" si="356"/>
        <v>77.3711113362136</v>
      </c>
      <c r="BB353">
        <f t="shared" si="357"/>
        <v>1.5578712462807</v>
      </c>
      <c r="BC353" s="30" t="str">
        <f t="shared" si="358"/>
        <v>-0,0334237118550339+0,0556836420676725i</v>
      </c>
      <c r="BD353" s="32">
        <f t="shared" si="359"/>
        <v>-23.7491272960178</v>
      </c>
      <c r="BE353" s="31">
        <f t="shared" si="360"/>
        <v>120.973989430333</v>
      </c>
      <c r="BF353" s="30" t="str">
        <f t="shared" si="361"/>
        <v>0,0636216232190853+0,00929884080118023i</v>
      </c>
      <c r="BG353" s="68">
        <f t="shared" si="362"/>
        <v>-23.8361068334284</v>
      </c>
      <c r="BH353" s="31">
        <f t="shared" si="363"/>
        <v>8.31538663514786</v>
      </c>
      <c r="BI353" s="30" t="str">
        <f t="shared" si="316"/>
        <v>0,0432492656361582+0,174286189562216i</v>
      </c>
      <c r="BJ353" s="68">
        <f t="shared" si="364"/>
        <v>-14.9152179544685</v>
      </c>
      <c r="BK353" s="31">
        <f t="shared" si="317"/>
        <v>76.0635162010372</v>
      </c>
      <c r="BL353" s="32">
        <f t="shared" si="365"/>
        <v>-23.8361068334284</v>
      </c>
      <c r="BM353" s="31">
        <f t="shared" si="366"/>
        <v>8.31538663514786</v>
      </c>
      <c r="BO353">
        <f t="shared" si="367"/>
        <v>0</v>
      </c>
      <c r="BP353">
        <f t="shared" si="368"/>
        <v>0</v>
      </c>
    </row>
    <row r="354" spans="14:68">
      <c r="N354" s="7">
        <v>36</v>
      </c>
      <c r="O354" s="18">
        <f t="shared" si="318"/>
        <v>22908.6765276778</v>
      </c>
      <c r="P354" s="86" t="str">
        <f t="shared" si="319"/>
        <v>163,636363636364</v>
      </c>
      <c r="Q354" s="4" t="str">
        <f t="shared" si="320"/>
        <v>1+879,339245113699i</v>
      </c>
      <c r="R354" s="4">
        <f t="shared" si="331"/>
        <v>879.339813722278</v>
      </c>
      <c r="S354" s="4">
        <f t="shared" si="332"/>
        <v>1.5696591097601</v>
      </c>
      <c r="T354" s="4" t="str">
        <f t="shared" si="321"/>
        <v>1+2,25697072912516i</v>
      </c>
      <c r="U354" s="4">
        <f t="shared" si="333"/>
        <v>2.46858600662966</v>
      </c>
      <c r="V354" s="4">
        <f t="shared" si="334"/>
        <v>1.15371884073141</v>
      </c>
      <c r="W354" t="str">
        <f t="shared" si="322"/>
        <v>1-2,15909189648453i</v>
      </c>
      <c r="X354" s="4">
        <f t="shared" si="335"/>
        <v>2.37942804418733</v>
      </c>
      <c r="Y354" s="4">
        <f t="shared" si="336"/>
        <v>-1.13705450360039</v>
      </c>
      <c r="Z354" t="str">
        <f t="shared" si="323"/>
        <v>0,995715857467349+0,447240464271795i</v>
      </c>
      <c r="AA354" s="4">
        <f t="shared" si="337"/>
        <v>1.09154665575686</v>
      </c>
      <c r="AB354" s="4">
        <f t="shared" si="338"/>
        <v>0.422159114542588</v>
      </c>
      <c r="AC354" s="67" t="str">
        <f t="shared" si="339"/>
        <v>-0,393973596071006-0,920629785191267i</v>
      </c>
      <c r="AD354" s="68">
        <f t="shared" si="340"/>
        <v>0.0120323642263499</v>
      </c>
      <c r="AE354" s="31">
        <f t="shared" si="341"/>
        <v>-113.167981623795</v>
      </c>
      <c r="AF354" s="32" t="str">
        <f t="shared" si="342"/>
        <v>748,315388573934</v>
      </c>
      <c r="AG354" s="32" t="str">
        <f t="shared" si="324"/>
        <v>1+716,498644166717i</v>
      </c>
      <c r="AH354" s="32">
        <f t="shared" si="343"/>
        <v>716.499342004404</v>
      </c>
      <c r="AI354" s="32">
        <f t="shared" si="344"/>
        <v>1.56940065164765</v>
      </c>
      <c r="AJ354" s="32" t="str">
        <f t="shared" si="325"/>
        <v>1+2,25697072912516i</v>
      </c>
      <c r="AK354" s="32">
        <f t="shared" si="345"/>
        <v>2.46858600662966</v>
      </c>
      <c r="AL354" s="32">
        <f t="shared" si="346"/>
        <v>1.15371884073141</v>
      </c>
      <c r="AM354" s="32" t="str">
        <f t="shared" si="326"/>
        <v>1-0,384694387771671i</v>
      </c>
      <c r="AN354" s="32">
        <f t="shared" si="347"/>
        <v>1.07144284587794</v>
      </c>
      <c r="AO354" s="32">
        <f t="shared" si="348"/>
        <v>-0.3672426543336</v>
      </c>
      <c r="AP354" s="30" t="str">
        <f t="shared" si="349"/>
        <v>1,9581358337038-1,94847204531853i</v>
      </c>
      <c r="AQ354" s="32">
        <f t="shared" si="350"/>
        <v>8.82572305138036</v>
      </c>
      <c r="AR354" s="31">
        <f t="shared" si="351"/>
        <v>-44.8582675363528</v>
      </c>
      <c r="AS354" t="str">
        <f t="shared" si="327"/>
        <v>-0,0000504684572142411</v>
      </c>
      <c r="AT354" t="str">
        <f t="shared" si="328"/>
        <v>0,0323431966093382i</v>
      </c>
      <c r="AU354">
        <f t="shared" si="352"/>
        <v>0.0323431966093382</v>
      </c>
      <c r="AV354">
        <f t="shared" si="353"/>
        <v>1.5707963267949</v>
      </c>
      <c r="AW354" t="str">
        <f t="shared" si="329"/>
        <v>1+1,6559123430982i</v>
      </c>
      <c r="AX354">
        <f t="shared" si="354"/>
        <v>1.93443678832496</v>
      </c>
      <c r="AY354">
        <f t="shared" si="355"/>
        <v>1.0275165307491</v>
      </c>
      <c r="AZ354" t="str">
        <f t="shared" si="330"/>
        <v>1+79,1667028710992i</v>
      </c>
      <c r="BA354">
        <f t="shared" si="356"/>
        <v>79.1730184057732</v>
      </c>
      <c r="BB354">
        <f t="shared" si="357"/>
        <v>1.55816542537701</v>
      </c>
      <c r="BC354" s="30" t="str">
        <f t="shared" si="358"/>
        <v>-0,0323214003511618+0,0550818099068127i</v>
      </c>
      <c r="BD354" s="32">
        <f t="shared" si="359"/>
        <v>-23.8948050475709</v>
      </c>
      <c r="BE354" s="31">
        <f t="shared" si="360"/>
        <v>120.403942065461</v>
      </c>
      <c r="BF354" s="30" t="str">
        <f t="shared" si="361"/>
        <v>0,0634437331488531+0,00805526513528447i</v>
      </c>
      <c r="BG354" s="68">
        <f t="shared" si="362"/>
        <v>-23.8827726833446</v>
      </c>
      <c r="BH354" s="31">
        <f t="shared" si="363"/>
        <v>7.23596044166647</v>
      </c>
      <c r="BI354" s="30" t="str">
        <f t="shared" si="316"/>
        <v>0,0440356745858773+0,170835010813578i</v>
      </c>
      <c r="BJ354" s="68">
        <f t="shared" si="364"/>
        <v>-15.0690819961906</v>
      </c>
      <c r="BK354" s="31">
        <f t="shared" si="317"/>
        <v>75.5456745291087</v>
      </c>
      <c r="BL354" s="32">
        <f t="shared" si="365"/>
        <v>-23.8827726833446</v>
      </c>
      <c r="BM354" s="31">
        <f t="shared" si="366"/>
        <v>7.23596044166647</v>
      </c>
      <c r="BO354">
        <f t="shared" si="367"/>
        <v>0</v>
      </c>
      <c r="BP354">
        <f t="shared" si="368"/>
        <v>0</v>
      </c>
    </row>
    <row r="355" spans="14:68">
      <c r="N355" s="7">
        <v>37</v>
      </c>
      <c r="O355" s="18">
        <f t="shared" si="318"/>
        <v>23442.2881531992</v>
      </c>
      <c r="P355" s="86" t="str">
        <f t="shared" si="319"/>
        <v>163,636363636364</v>
      </c>
      <c r="Q355" s="4" t="str">
        <f t="shared" si="320"/>
        <v>1+899,821687362291i</v>
      </c>
      <c r="R355" s="4">
        <f t="shared" si="331"/>
        <v>899.822243027766</v>
      </c>
      <c r="S355" s="4">
        <f t="shared" si="332"/>
        <v>1.56968499595862</v>
      </c>
      <c r="T355" s="4" t="str">
        <f t="shared" si="321"/>
        <v>1+2,30954233089655i</v>
      </c>
      <c r="U355" s="4">
        <f t="shared" si="333"/>
        <v>2.51674110273645</v>
      </c>
      <c r="V355" s="4">
        <f t="shared" si="334"/>
        <v>1.16218077383353</v>
      </c>
      <c r="W355" t="str">
        <f t="shared" si="322"/>
        <v>1-2,20938360736277i</v>
      </c>
      <c r="X355" s="4">
        <f t="shared" si="335"/>
        <v>2.42515482484796</v>
      </c>
      <c r="Y355" s="4">
        <f t="shared" si="336"/>
        <v>-1.14576995454251</v>
      </c>
      <c r="Z355" t="str">
        <f t="shared" si="323"/>
        <v>0,995513952050142+0,457658032953716i</v>
      </c>
      <c r="AA355" s="4">
        <f t="shared" si="337"/>
        <v>1.09567280875887</v>
      </c>
      <c r="AB355" s="4">
        <f t="shared" si="338"/>
        <v>0.430907914412592</v>
      </c>
      <c r="AC355" s="67" t="str">
        <f t="shared" si="339"/>
        <v>-0,406944549788661-0,927693951435716i</v>
      </c>
      <c r="AD355" s="68">
        <f t="shared" si="340"/>
        <v>0.11240446491581</v>
      </c>
      <c r="AE355" s="31">
        <f t="shared" si="341"/>
        <v>-113.685259604337</v>
      </c>
      <c r="AF355" s="32" t="str">
        <f t="shared" si="342"/>
        <v>748,315388573934</v>
      </c>
      <c r="AG355" s="32" t="str">
        <f t="shared" si="324"/>
        <v>1+733,188041554459i</v>
      </c>
      <c r="AH355" s="32">
        <f t="shared" si="343"/>
        <v>733.188723507436</v>
      </c>
      <c r="AI355" s="32">
        <f t="shared" si="344"/>
        <v>1.56943242105279</v>
      </c>
      <c r="AJ355" s="32" t="str">
        <f t="shared" si="325"/>
        <v>1+2,30954233089655i</v>
      </c>
      <c r="AK355" s="32">
        <f t="shared" si="345"/>
        <v>2.51674110273645</v>
      </c>
      <c r="AL355" s="32">
        <f t="shared" si="346"/>
        <v>1.16218077383353</v>
      </c>
      <c r="AM355" s="32" t="str">
        <f t="shared" si="326"/>
        <v>1-0,393655071176483i</v>
      </c>
      <c r="AN355" s="32">
        <f t="shared" si="347"/>
        <v>1.07469266074677</v>
      </c>
      <c r="AO355" s="32">
        <f t="shared" si="348"/>
        <v>-0.375024672214742</v>
      </c>
      <c r="AP355" s="30" t="str">
        <f t="shared" si="349"/>
        <v>1,95807040033748-1,94588282792522i</v>
      </c>
      <c r="AQ355" s="32">
        <f t="shared" si="350"/>
        <v>8.81983448764573</v>
      </c>
      <c r="AR355" s="31">
        <f t="shared" si="351"/>
        <v>-44.821131516596</v>
      </c>
      <c r="AS355" t="str">
        <f t="shared" si="327"/>
        <v>-0,0000504684572142411</v>
      </c>
      <c r="AT355" t="str">
        <f t="shared" si="328"/>
        <v>0,0330965664382943i</v>
      </c>
      <c r="AU355">
        <f t="shared" si="352"/>
        <v>0.0330965664382943</v>
      </c>
      <c r="AV355">
        <f t="shared" si="353"/>
        <v>1.5707963267949</v>
      </c>
      <c r="AW355" t="str">
        <f t="shared" si="329"/>
        <v>1+1,69448349652359i</v>
      </c>
      <c r="AX355">
        <f t="shared" si="354"/>
        <v>1.96755541726042</v>
      </c>
      <c r="AY355">
        <f t="shared" si="355"/>
        <v>1.03765070911454</v>
      </c>
      <c r="AZ355" t="str">
        <f t="shared" si="330"/>
        <v>1+81,010732269968i</v>
      </c>
      <c r="BA355">
        <f t="shared" si="356"/>
        <v>81.0169040566007</v>
      </c>
      <c r="BB355">
        <f t="shared" si="357"/>
        <v>1.55845291025216</v>
      </c>
      <c r="BC355" s="30" t="str">
        <f t="shared" si="358"/>
        <v>-0,0312424661281252+0,0544647282297281i</v>
      </c>
      <c r="BD355" s="32">
        <f t="shared" si="359"/>
        <v>-24.0422848406493</v>
      </c>
      <c r="BE355" s="31">
        <f t="shared" si="360"/>
        <v>119.839768086309</v>
      </c>
      <c r="BF355" s="30" t="str">
        <f t="shared" si="361"/>
        <v>0,0632405502581063+0,0068193225461885i</v>
      </c>
      <c r="BG355" s="68">
        <f t="shared" si="362"/>
        <v>-23.9298803757335</v>
      </c>
      <c r="BH355" s="31">
        <f t="shared" si="363"/>
        <v>6.15450848197145</v>
      </c>
      <c r="BI355" s="30" t="str">
        <f t="shared" si="316"/>
        <v>0,0448070312308136+0,16743995054981i</v>
      </c>
      <c r="BJ355" s="68">
        <f t="shared" si="364"/>
        <v>-15.2224503530036</v>
      </c>
      <c r="BK355" s="31">
        <f t="shared" si="317"/>
        <v>75.0186365697128</v>
      </c>
      <c r="BL355" s="32">
        <f t="shared" si="365"/>
        <v>-23.9298803757335</v>
      </c>
      <c r="BM355" s="31">
        <f t="shared" si="366"/>
        <v>6.15450848197145</v>
      </c>
      <c r="BO355">
        <f t="shared" si="367"/>
        <v>0</v>
      </c>
      <c r="BP355">
        <f t="shared" si="368"/>
        <v>0</v>
      </c>
    </row>
    <row r="356" spans="14:68">
      <c r="N356" s="7">
        <v>38</v>
      </c>
      <c r="O356" s="18">
        <f t="shared" si="318"/>
        <v>23988.3291901949</v>
      </c>
      <c r="P356" s="86" t="str">
        <f t="shared" si="319"/>
        <v>163,636363636364</v>
      </c>
      <c r="Q356" s="4" t="str">
        <f t="shared" si="320"/>
        <v>1+920,78122698008i</v>
      </c>
      <c r="R356" s="4">
        <f t="shared" si="331"/>
        <v>920.781769997073</v>
      </c>
      <c r="S356" s="4">
        <f t="shared" si="332"/>
        <v>1.56971029291677</v>
      </c>
      <c r="T356" s="4" t="str">
        <f t="shared" si="321"/>
        <v>1+2,3633384825822i</v>
      </c>
      <c r="U356" s="4">
        <f t="shared" si="333"/>
        <v>2.56619733910974</v>
      </c>
      <c r="V356" s="4">
        <f t="shared" si="334"/>
        <v>1.17051044082647</v>
      </c>
      <c r="W356" t="str">
        <f t="shared" si="322"/>
        <v>1-2,2608467626743i</v>
      </c>
      <c r="X356" s="4">
        <f t="shared" si="335"/>
        <v>2.47213027251698</v>
      </c>
      <c r="Y356" s="4">
        <f t="shared" si="336"/>
        <v>-1.15435397850307</v>
      </c>
      <c r="Z356" t="str">
        <f t="shared" si="323"/>
        <v>0,995302531123778+0,468318257982534i</v>
      </c>
      <c r="AA356" s="4">
        <f t="shared" si="337"/>
        <v>1.09997687213013</v>
      </c>
      <c r="AB356" s="4">
        <f t="shared" si="338"/>
        <v>0.439793718516196</v>
      </c>
      <c r="AC356" s="67" t="str">
        <f t="shared" si="339"/>
        <v>-0,420318659874943-0,934797513534309i</v>
      </c>
      <c r="AD356" s="68">
        <f t="shared" si="340"/>
        <v>0.21401913641681</v>
      </c>
      <c r="AE356" s="31">
        <f t="shared" si="341"/>
        <v>-114.210401666725</v>
      </c>
      <c r="AF356" s="32" t="str">
        <f t="shared" si="342"/>
        <v>748,315388573934</v>
      </c>
      <c r="AG356" s="32" t="str">
        <f t="shared" si="324"/>
        <v>1+750,266184946731i</v>
      </c>
      <c r="AH356" s="32">
        <f t="shared" si="343"/>
        <v>750.266851376577</v>
      </c>
      <c r="AI356" s="32">
        <f t="shared" si="344"/>
        <v>1.56946346730064</v>
      </c>
      <c r="AJ356" s="32" t="str">
        <f t="shared" si="325"/>
        <v>1+2,3633384825822i</v>
      </c>
      <c r="AK356" s="32">
        <f t="shared" si="345"/>
        <v>2.56619733910974</v>
      </c>
      <c r="AL356" s="32">
        <f t="shared" si="346"/>
        <v>1.17051044082647</v>
      </c>
      <c r="AM356" s="32" t="str">
        <f t="shared" si="326"/>
        <v>1-0,402824475710679i</v>
      </c>
      <c r="AN356" s="32">
        <f t="shared" si="347"/>
        <v>1.07808513496457</v>
      </c>
      <c r="AO356" s="32">
        <f t="shared" si="348"/>
        <v>-0.382938895994718</v>
      </c>
      <c r="AP356" s="30" t="str">
        <f t="shared" si="349"/>
        <v>1,95800791194705-1,94432533532859i</v>
      </c>
      <c r="AQ356" s="32">
        <f t="shared" si="350"/>
        <v>8.81624051558572</v>
      </c>
      <c r="AR356" s="31">
        <f t="shared" si="351"/>
        <v>-44.7991071928376</v>
      </c>
      <c r="AS356" t="str">
        <f t="shared" si="327"/>
        <v>-0,0000504684572142411</v>
      </c>
      <c r="AT356" t="str">
        <f t="shared" si="328"/>
        <v>0,033867484504861i</v>
      </c>
      <c r="AU356">
        <f t="shared" si="352"/>
        <v>0.033867484504861</v>
      </c>
      <c r="AV356">
        <f t="shared" si="353"/>
        <v>1.5707963267949</v>
      </c>
      <c r="AW356" t="str">
        <f t="shared" si="329"/>
        <v>1+1,73395308752798i</v>
      </c>
      <c r="AX356">
        <f t="shared" si="354"/>
        <v>2.00164764875035</v>
      </c>
      <c r="AY356">
        <f t="shared" si="355"/>
        <v>1.0476727297406</v>
      </c>
      <c r="AZ356" t="str">
        <f t="shared" si="330"/>
        <v>1+82,8977146313909i</v>
      </c>
      <c r="BA356">
        <f t="shared" si="356"/>
        <v>82.9037459413477</v>
      </c>
      <c r="BB356">
        <f t="shared" si="357"/>
        <v>1.55873385314426</v>
      </c>
      <c r="BC356" s="30" t="str">
        <f t="shared" si="358"/>
        <v>-0,0301872806807554+0,0538335029054122i</v>
      </c>
      <c r="BD356" s="32">
        <f t="shared" si="359"/>
        <v>-24.191527768395</v>
      </c>
      <c r="BE356" s="31">
        <f t="shared" si="360"/>
        <v>119.281645444244</v>
      </c>
      <c r="BF356" s="30" t="str">
        <f t="shared" si="361"/>
        <v>0,0630117020218252+0,00559176912315572i</v>
      </c>
      <c r="BG356" s="68">
        <f t="shared" si="362"/>
        <v>-23.9775086319782</v>
      </c>
      <c r="BH356" s="31">
        <f t="shared" si="363"/>
        <v>5.07124377751886</v>
      </c>
      <c r="BI356" s="30" t="str">
        <f t="shared" si="316"/>
        <v>0,0455629091753928+0,16410031924889i</v>
      </c>
      <c r="BJ356" s="68">
        <f t="shared" si="364"/>
        <v>-15.3752872528093</v>
      </c>
      <c r="BK356" s="31">
        <f t="shared" si="317"/>
        <v>74.4825382514064</v>
      </c>
      <c r="BL356" s="32">
        <f t="shared" si="365"/>
        <v>-23.9775086319782</v>
      </c>
      <c r="BM356" s="31">
        <f t="shared" si="366"/>
        <v>5.07124377751886</v>
      </c>
      <c r="BO356">
        <f t="shared" si="367"/>
        <v>0</v>
      </c>
      <c r="BP356">
        <f t="shared" si="368"/>
        <v>0</v>
      </c>
    </row>
    <row r="357" spans="14:68">
      <c r="N357" s="7">
        <v>39</v>
      </c>
      <c r="O357" s="18">
        <f t="shared" si="318"/>
        <v>24547.0891568503</v>
      </c>
      <c r="P357" s="86" t="str">
        <f t="shared" si="319"/>
        <v>163,636363636364</v>
      </c>
      <c r="Q357" s="4" t="str">
        <f t="shared" si="320"/>
        <v>1+942,228976992388i</v>
      </c>
      <c r="R357" s="4">
        <f t="shared" si="331"/>
        <v>942.229507648812</v>
      </c>
      <c r="S357" s="4">
        <f t="shared" si="332"/>
        <v>1.56973501404719</v>
      </c>
      <c r="T357" s="4" t="str">
        <f t="shared" si="321"/>
        <v>1+2,41838770761379i</v>
      </c>
      <c r="U357" s="4">
        <f t="shared" si="333"/>
        <v>2.61698282461645</v>
      </c>
      <c r="V357" s="4">
        <f t="shared" si="334"/>
        <v>1.17870763363677</v>
      </c>
      <c r="W357" t="str">
        <f t="shared" si="322"/>
        <v>1-2,31350864886524i</v>
      </c>
      <c r="X357" s="4">
        <f t="shared" si="335"/>
        <v>2.52038137359691</v>
      </c>
      <c r="Y357" s="4">
        <f t="shared" si="336"/>
        <v>-1.16280606566086</v>
      </c>
      <c r="Z357" t="str">
        <f t="shared" si="323"/>
        <v>0,995081146236128+0,479226791550656i</v>
      </c>
      <c r="AA357" s="4">
        <f t="shared" si="337"/>
        <v>1.10446584616028</v>
      </c>
      <c r="AB357" s="4">
        <f t="shared" si="338"/>
        <v>0.44881605506853</v>
      </c>
      <c r="AC357" s="67" t="str">
        <f t="shared" si="339"/>
        <v>-0,434100251668648-0,941923146706242i</v>
      </c>
      <c r="AD357" s="68">
        <f t="shared" si="340"/>
        <v>0.316759245687188</v>
      </c>
      <c r="AE357" s="31">
        <f t="shared" si="341"/>
        <v>-114.743364259291</v>
      </c>
      <c r="AF357" s="32" t="str">
        <f t="shared" si="342"/>
        <v>748,315388573934</v>
      </c>
      <c r="AG357" s="32" t="str">
        <f t="shared" si="324"/>
        <v>1+767,742129401204i</v>
      </c>
      <c r="AH357" s="32">
        <f t="shared" si="343"/>
        <v>767.742780661268</v>
      </c>
      <c r="AI357" s="32">
        <f t="shared" si="344"/>
        <v>1.56949380685209</v>
      </c>
      <c r="AJ357" s="32" t="str">
        <f t="shared" si="325"/>
        <v>1+2,41838770761379i</v>
      </c>
      <c r="AK357" s="32">
        <f t="shared" si="345"/>
        <v>2.61698282461645</v>
      </c>
      <c r="AL357" s="32">
        <f t="shared" si="346"/>
        <v>1.17870763363677</v>
      </c>
      <c r="AM357" s="32" t="str">
        <f t="shared" si="326"/>
        <v>1-0,412207463113905i</v>
      </c>
      <c r="AN357" s="32">
        <f t="shared" si="347"/>
        <v>1.08162608726251</v>
      </c>
      <c r="AO357" s="32">
        <f t="shared" si="348"/>
        <v>-0.390985555208786</v>
      </c>
      <c r="AP357" s="30" t="str">
        <f t="shared" si="349"/>
        <v>1,95794823598772-1,94379874226178i</v>
      </c>
      <c r="AQ357" s="32">
        <f t="shared" si="350"/>
        <v>8.81493921173659</v>
      </c>
      <c r="AR357" s="31">
        <f t="shared" si="351"/>
        <v>-44.7922205813485</v>
      </c>
      <c r="AS357" t="str">
        <f t="shared" si="327"/>
        <v>-0,0000504684572142411</v>
      </c>
      <c r="AT357" t="str">
        <f t="shared" si="328"/>
        <v>0,0346563595600013i</v>
      </c>
      <c r="AU357">
        <f t="shared" si="352"/>
        <v>0.0346563595600013</v>
      </c>
      <c r="AV357">
        <f t="shared" si="353"/>
        <v>1.5707963267949</v>
      </c>
      <c r="AW357" t="str">
        <f t="shared" si="329"/>
        <v>1+1,77434204341096i</v>
      </c>
      <c r="AX357">
        <f t="shared" si="354"/>
        <v>2.03673505567508</v>
      </c>
      <c r="AY357">
        <f t="shared" si="355"/>
        <v>1.05757985288853</v>
      </c>
      <c r="AZ357" t="str">
        <f t="shared" si="330"/>
        <v>1+84,8286504583919i</v>
      </c>
      <c r="BA357">
        <f t="shared" si="356"/>
        <v>84.8345444886223</v>
      </c>
      <c r="BB357">
        <f t="shared" si="357"/>
        <v>1.55900840283544</v>
      </c>
      <c r="BC357" s="30" t="str">
        <f t="shared" si="358"/>
        <v>-0,0291561501101439+0,0531892368195656i</v>
      </c>
      <c r="BD357" s="32">
        <f t="shared" si="359"/>
        <v>-24.3424943609654</v>
      </c>
      <c r="BE357" s="31">
        <f t="shared" si="360"/>
        <v>118.729739639322</v>
      </c>
      <c r="BF357" s="30" t="str">
        <f t="shared" si="361"/>
        <v>0,0627568654164911+0,00437339156814954i</v>
      </c>
      <c r="BG357" s="68">
        <f t="shared" si="362"/>
        <v>-24.0257351152783</v>
      </c>
      <c r="BH357" s="31">
        <f t="shared" si="363"/>
        <v>3.98637538003176</v>
      </c>
      <c r="BI357" s="30" t="str">
        <f t="shared" si="316"/>
        <v>0,0463029389553861+0,160815460317695i</v>
      </c>
      <c r="BJ357" s="68">
        <f t="shared" si="364"/>
        <v>-15.5275551492289</v>
      </c>
      <c r="BK357" s="31">
        <f t="shared" si="317"/>
        <v>73.9375190579739</v>
      </c>
      <c r="BL357" s="32">
        <f t="shared" si="365"/>
        <v>-24.0257351152783</v>
      </c>
      <c r="BM357" s="31">
        <f t="shared" si="366"/>
        <v>3.98637538003176</v>
      </c>
      <c r="BO357">
        <f t="shared" si="367"/>
        <v>0</v>
      </c>
      <c r="BP357">
        <f t="shared" si="368"/>
        <v>0</v>
      </c>
    </row>
    <row r="358" spans="14:68">
      <c r="N358" s="7">
        <v>40</v>
      </c>
      <c r="O358" s="18">
        <f t="shared" si="318"/>
        <v>25118.8643150959</v>
      </c>
      <c r="P358" s="86" t="str">
        <f t="shared" si="319"/>
        <v>163,636363636364</v>
      </c>
      <c r="Q358" s="4" t="str">
        <f t="shared" si="320"/>
        <v>1+964,176309280178i</v>
      </c>
      <c r="R358" s="4">
        <f t="shared" si="331"/>
        <v>964.176827857393</v>
      </c>
      <c r="S358" s="4">
        <f t="shared" si="332"/>
        <v>1.56975917245724</v>
      </c>
      <c r="T358" s="4" t="str">
        <f t="shared" si="321"/>
        <v>1+2,47471919381912i</v>
      </c>
      <c r="U358" s="4">
        <f t="shared" si="333"/>
        <v>2.66912627806493</v>
      </c>
      <c r="V358" s="4">
        <f t="shared" si="334"/>
        <v>1.18677229105891</v>
      </c>
      <c r="W358" t="str">
        <f t="shared" si="322"/>
        <v>1-2,36739718796472i</v>
      </c>
      <c r="X358" s="4">
        <f t="shared" si="335"/>
        <v>2.56993568899754</v>
      </c>
      <c r="Y358" s="4">
        <f t="shared" si="336"/>
        <v>-1.17112586598899</v>
      </c>
      <c r="Z358" t="str">
        <f t="shared" si="323"/>
        <v>0,994849327800162+0,490389417506978i</v>
      </c>
      <c r="AA358" s="4">
        <f t="shared" si="337"/>
        <v>1.10914695411711</v>
      </c>
      <c r="AB358" s="4">
        <f t="shared" si="338"/>
        <v>0.457974285549911</v>
      </c>
      <c r="AC358" s="67" t="str">
        <f t="shared" si="339"/>
        <v>-0,448293024738351-0,949053006668546i</v>
      </c>
      <c r="AD358" s="68">
        <f t="shared" si="340"/>
        <v>0.420508315009964</v>
      </c>
      <c r="AE358" s="31">
        <f t="shared" si="341"/>
        <v>-115.284095000303</v>
      </c>
      <c r="AF358" s="32" t="str">
        <f t="shared" si="342"/>
        <v>748,315388573934</v>
      </c>
      <c r="AG358" s="32" t="str">
        <f t="shared" si="324"/>
        <v>1+785,62514089496i</v>
      </c>
      <c r="AH358" s="32">
        <f t="shared" si="343"/>
        <v>785.625777330547</v>
      </c>
      <c r="AI358" s="32">
        <f t="shared" si="344"/>
        <v>1.56952345579335</v>
      </c>
      <c r="AJ358" s="32" t="str">
        <f t="shared" si="325"/>
        <v>1+2,47471919381912i</v>
      </c>
      <c r="AK358" s="32">
        <f t="shared" si="345"/>
        <v>2.66912627806493</v>
      </c>
      <c r="AL358" s="32">
        <f t="shared" si="346"/>
        <v>1.18677229105891</v>
      </c>
      <c r="AM358" s="32" t="str">
        <f t="shared" si="326"/>
        <v>1-0,421809008370288i</v>
      </c>
      <c r="AN358" s="32">
        <f t="shared" si="347"/>
        <v>1.08532153739909</v>
      </c>
      <c r="AO358" s="32">
        <f t="shared" si="348"/>
        <v>-0.399164747170392</v>
      </c>
      <c r="AP358" s="30" t="str">
        <f t="shared" si="349"/>
        <v>1,95789124588008-1,94430277001871i</v>
      </c>
      <c r="AQ358" s="32">
        <f t="shared" si="350"/>
        <v>8.81592987803866</v>
      </c>
      <c r="AR358" s="31">
        <f t="shared" si="351"/>
        <v>-44.8004816862696</v>
      </c>
      <c r="AS358" t="str">
        <f t="shared" si="327"/>
        <v>-0,0000504684572142411</v>
      </c>
      <c r="AT358" t="str">
        <f t="shared" si="328"/>
        <v>0,0354636098757116i</v>
      </c>
      <c r="AU358">
        <f t="shared" si="352"/>
        <v>0.0354636098757116</v>
      </c>
      <c r="AV358">
        <f t="shared" si="353"/>
        <v>1.5707963267949</v>
      </c>
      <c r="AW358" t="str">
        <f t="shared" si="329"/>
        <v>1+1,81567177893155i</v>
      </c>
      <c r="AX358">
        <f t="shared" si="354"/>
        <v>2.07283960035707</v>
      </c>
      <c r="AY358">
        <f t="shared" si="355"/>
        <v>1.06736955163668</v>
      </c>
      <c r="AZ358" t="str">
        <f t="shared" si="330"/>
        <v>1+86,8045635587063i</v>
      </c>
      <c r="BA358">
        <f t="shared" si="356"/>
        <v>86.8103234334344</v>
      </c>
      <c r="BB358">
        <f t="shared" si="357"/>
        <v>1.55927670472992</v>
      </c>
      <c r="BC358" s="30" t="str">
        <f t="shared" si="358"/>
        <v>-0,0281493169042405+0,0525330257696301i</v>
      </c>
      <c r="BD358" s="32">
        <f t="shared" si="359"/>
        <v>-24.4951446923685</v>
      </c>
      <c r="BE358" s="31">
        <f t="shared" si="360"/>
        <v>118.184203784538</v>
      </c>
      <c r="BF358" s="30" t="str">
        <f t="shared" si="361"/>
        <v>0,062475768475384+0,00316500482270996i</v>
      </c>
      <c r="BG358" s="68">
        <f t="shared" si="362"/>
        <v>-24.0746363773586</v>
      </c>
      <c r="BH358" s="31">
        <f t="shared" si="363"/>
        <v>2.90010878423484</v>
      </c>
      <c r="BI358" s="30" t="str">
        <f t="shared" si="316"/>
        <v>0,0470268063770395+0,157584746105001i</v>
      </c>
      <c r="BJ358" s="68">
        <f t="shared" si="364"/>
        <v>-15.6792148143298</v>
      </c>
      <c r="BK358" s="31">
        <f t="shared" si="317"/>
        <v>73.3837220982686</v>
      </c>
      <c r="BL358" s="32">
        <f t="shared" si="365"/>
        <v>-24.0746363773586</v>
      </c>
      <c r="BM358" s="31">
        <f t="shared" si="366"/>
        <v>2.90010878423484</v>
      </c>
      <c r="BO358">
        <f t="shared" si="367"/>
        <v>0</v>
      </c>
      <c r="BP358">
        <f t="shared" si="368"/>
        <v>0</v>
      </c>
    </row>
    <row r="359" spans="14:68">
      <c r="N359" s="7">
        <v>41</v>
      </c>
      <c r="O359" s="18">
        <f t="shared" si="318"/>
        <v>25703.9578276886</v>
      </c>
      <c r="P359" s="86" t="str">
        <f t="shared" si="319"/>
        <v>163,636363636364</v>
      </c>
      <c r="Q359" s="4" t="str">
        <f t="shared" si="320"/>
        <v>1+986,634860609525i</v>
      </c>
      <c r="R359" s="4">
        <f t="shared" si="331"/>
        <v>986.635367382488</v>
      </c>
      <c r="S359" s="4">
        <f t="shared" si="332"/>
        <v>1.5697827809559</v>
      </c>
      <c r="T359" s="4" t="str">
        <f t="shared" si="321"/>
        <v>1+2,53236280889778i</v>
      </c>
      <c r="U359" s="4">
        <f t="shared" si="333"/>
        <v>2.72265704705691</v>
      </c>
      <c r="V359" s="4">
        <f t="shared" si="334"/>
        <v>1.19470449191701</v>
      </c>
      <c r="W359" t="str">
        <f t="shared" si="322"/>
        <v>1-2,42254095238946i</v>
      </c>
      <c r="X359" s="4">
        <f t="shared" si="335"/>
        <v>2.62082137239531</v>
      </c>
      <c r="Y359" s="4">
        <f t="shared" si="336"/>
        <v>-1.17931318259307</v>
      </c>
      <c r="Z359" t="str">
        <f t="shared" si="323"/>
        <v>0,994606584097897+0,50181205442353i</v>
      </c>
      <c r="AA359" s="4">
        <f t="shared" si="337"/>
        <v>1.11402764557063</v>
      </c>
      <c r="AB359" s="4">
        <f t="shared" si="338"/>
        <v>0.467267598584903</v>
      </c>
      <c r="AC359" s="67" t="str">
        <f t="shared" si="339"/>
        <v>-0,462900001836377-0,95616875050115i</v>
      </c>
      <c r="AD359" s="68">
        <f t="shared" si="340"/>
        <v>0.525150677552741</v>
      </c>
      <c r="AE359" s="31">
        <f t="shared" si="341"/>
        <v>-115.832532337769</v>
      </c>
      <c r="AF359" s="32" t="str">
        <f t="shared" si="342"/>
        <v>748,315388573934</v>
      </c>
      <c r="AG359" s="32" t="str">
        <f t="shared" si="324"/>
        <v>1+803,92470123739i</v>
      </c>
      <c r="AH359" s="32">
        <f t="shared" si="343"/>
        <v>803.925323185945</v>
      </c>
      <c r="AI359" s="32">
        <f t="shared" si="344"/>
        <v>1.56955242984447</v>
      </c>
      <c r="AJ359" s="32" t="str">
        <f t="shared" si="325"/>
        <v>1+2,53236280889778i</v>
      </c>
      <c r="AK359" s="32">
        <f t="shared" si="345"/>
        <v>2.72265704705691</v>
      </c>
      <c r="AL359" s="32">
        <f t="shared" si="346"/>
        <v>1.19470449191701</v>
      </c>
      <c r="AM359" s="32" t="str">
        <f t="shared" si="326"/>
        <v>1-0,431634202346209i</v>
      </c>
      <c r="AN359" s="32">
        <f t="shared" si="347"/>
        <v>1.0891777103095</v>
      </c>
      <c r="AO359" s="32">
        <f t="shared" si="348"/>
        <v>-0.407476430095618</v>
      </c>
      <c r="AP359" s="30" t="str">
        <f t="shared" si="349"/>
        <v>1,9578368207417-1,94583768630872i</v>
      </c>
      <c r="AQ359" s="32">
        <f t="shared" si="350"/>
        <v>8.81921304695491</v>
      </c>
      <c r="AR359" s="31">
        <f t="shared" si="351"/>
        <v>-44.8238844979619</v>
      </c>
      <c r="AS359" t="str">
        <f t="shared" si="327"/>
        <v>-0,0000504684572142411</v>
      </c>
      <c r="AT359" t="str">
        <f t="shared" si="328"/>
        <v>0,036289663466794i</v>
      </c>
      <c r="AU359">
        <f t="shared" si="352"/>
        <v>0.036289663466794</v>
      </c>
      <c r="AV359">
        <f t="shared" si="353"/>
        <v>1.5707963267949</v>
      </c>
      <c r="AW359" t="str">
        <f t="shared" si="329"/>
        <v>1+1,85796420766259i</v>
      </c>
      <c r="AX359">
        <f t="shared" si="354"/>
        <v>2.10998364850424</v>
      </c>
      <c r="AY359">
        <f t="shared" si="355"/>
        <v>1.07703951008194</v>
      </c>
      <c r="AZ359" t="str">
        <f t="shared" si="330"/>
        <v>1+88,8265015876133i</v>
      </c>
      <c r="BA359">
        <f t="shared" si="356"/>
        <v>88.8321303599901</v>
      </c>
      <c r="BB359">
        <f t="shared" si="357"/>
        <v>1.55953890093034</v>
      </c>
      <c r="BC359" s="30" t="str">
        <f t="shared" si="358"/>
        <v>-0,027166961977064+0,0518659546193356i</v>
      </c>
      <c r="BD359" s="32">
        <f t="shared" si="359"/>
        <v>-24.6494384841282</v>
      </c>
      <c r="BE359" s="31">
        <f t="shared" si="360"/>
        <v>117.645178713247</v>
      </c>
      <c r="BF359" s="30" t="str">
        <f t="shared" si="361"/>
        <v>0,0621681917709912+0,00196744959998564i</v>
      </c>
      <c r="BG359" s="68">
        <f t="shared" si="362"/>
        <v>-24.1242878065754</v>
      </c>
      <c r="BH359" s="31">
        <f t="shared" si="363"/>
        <v>1.81264637547759</v>
      </c>
      <c r="BI359" s="30" t="str">
        <f t="shared" si="316"/>
        <v>0,0477342506682954+0,15440757413414i</v>
      </c>
      <c r="BJ359" s="68">
        <f t="shared" si="364"/>
        <v>-15.8302254371733</v>
      </c>
      <c r="BK359" s="31">
        <f t="shared" si="317"/>
        <v>72.8212942152846</v>
      </c>
      <c r="BL359" s="32">
        <f t="shared" si="365"/>
        <v>-24.1242878065754</v>
      </c>
      <c r="BM359" s="31">
        <f t="shared" si="366"/>
        <v>1.81264637547759</v>
      </c>
      <c r="BO359">
        <f t="shared" si="367"/>
        <v>0</v>
      </c>
      <c r="BP359">
        <f t="shared" si="368"/>
        <v>0</v>
      </c>
    </row>
    <row r="360" spans="14:68">
      <c r="N360" s="7">
        <v>42</v>
      </c>
      <c r="O360" s="18">
        <f t="shared" si="318"/>
        <v>26302.6799189538</v>
      </c>
      <c r="P360" s="86" t="str">
        <f t="shared" si="319"/>
        <v>163,636363636364</v>
      </c>
      <c r="Q360" s="4" t="str">
        <f t="shared" si="320"/>
        <v>1+1009,61653880162i</v>
      </c>
      <c r="R360" s="4">
        <f t="shared" si="331"/>
        <v>1009.61703403903</v>
      </c>
      <c r="S360" s="4">
        <f t="shared" si="332"/>
        <v>1.56980585206062</v>
      </c>
      <c r="T360" s="4" t="str">
        <f t="shared" si="321"/>
        <v>1+2,5913491162575i</v>
      </c>
      <c r="U360" s="4">
        <f t="shared" si="333"/>
        <v>2.77760512714254</v>
      </c>
      <c r="V360" s="4">
        <f t="shared" si="334"/>
        <v>1.20250444819136</v>
      </c>
      <c r="W360" t="str">
        <f t="shared" si="322"/>
        <v>1-2,47896918009327i</v>
      </c>
      <c r="X360" s="4">
        <f t="shared" si="335"/>
        <v>2.67306718880246</v>
      </c>
      <c r="Y360" s="4">
        <f t="shared" si="336"/>
        <v>-1.18736796493904</v>
      </c>
      <c r="Z360" t="str">
        <f t="shared" si="323"/>
        <v>0,994352400237396+0,513500758733606i</v>
      </c>
      <c r="AA360" s="4">
        <f t="shared" si="337"/>
        <v>1.11911559951502</v>
      </c>
      <c r="AB360" s="4">
        <f t="shared" si="338"/>
        <v>0.476695004095795</v>
      </c>
      <c r="AC360" s="67" t="str">
        <f t="shared" si="339"/>
        <v>-0,47792347784031-0,963251562027109i</v>
      </c>
      <c r="AD360" s="68">
        <f t="shared" si="340"/>
        <v>0.630571628608347</v>
      </c>
      <c r="AE360" s="31">
        <f t="shared" si="341"/>
        <v>-116.388605220644</v>
      </c>
      <c r="AF360" s="32" t="str">
        <f t="shared" si="342"/>
        <v>748,315388573934</v>
      </c>
      <c r="AG360" s="32" t="str">
        <f t="shared" si="324"/>
        <v>1+822,650513097619i</v>
      </c>
      <c r="AH360" s="32">
        <f t="shared" si="343"/>
        <v>822.651120888907</v>
      </c>
      <c r="AI360" s="32">
        <f t="shared" si="344"/>
        <v>1.56958074436769</v>
      </c>
      <c r="AJ360" s="32" t="str">
        <f t="shared" si="325"/>
        <v>1+2,5913491162575i</v>
      </c>
      <c r="AK360" s="32">
        <f t="shared" si="345"/>
        <v>2.77760512714254</v>
      </c>
      <c r="AL360" s="32">
        <f t="shared" si="346"/>
        <v>1.20250444819136</v>
      </c>
      <c r="AM360" s="32" t="str">
        <f t="shared" si="326"/>
        <v>1-0,441688254489568i</v>
      </c>
      <c r="AN360" s="32">
        <f t="shared" si="347"/>
        <v>1.09320104013582</v>
      </c>
      <c r="AO360" s="32">
        <f t="shared" si="348"/>
        <v>-0.415920416258027</v>
      </c>
      <c r="AP360" s="30" t="str">
        <f t="shared" si="349"/>
        <v>1,95778484513062-1,94840430540064i</v>
      </c>
      <c r="AQ360" s="32">
        <f t="shared" si="350"/>
        <v>8.82479047757856</v>
      </c>
      <c r="AR360" s="31">
        <f t="shared" si="351"/>
        <v>-44.8624069951073</v>
      </c>
      <c r="AS360" t="str">
        <f t="shared" si="327"/>
        <v>-0,0000504684572142411</v>
      </c>
      <c r="AT360" t="str">
        <f t="shared" si="328"/>
        <v>0,0371349583177972i</v>
      </c>
      <c r="AU360">
        <f t="shared" si="352"/>
        <v>0.0371349583177972</v>
      </c>
      <c r="AV360">
        <f t="shared" si="353"/>
        <v>1.5707963267949</v>
      </c>
      <c r="AW360" t="str">
        <f t="shared" si="329"/>
        <v>1+1,90124175360958i</v>
      </c>
      <c r="AX360">
        <f t="shared" si="354"/>
        <v>2.14818998360676</v>
      </c>
      <c r="AY360">
        <f t="shared" si="355"/>
        <v>1.08658762083661</v>
      </c>
      <c r="AZ360" t="str">
        <f t="shared" si="330"/>
        <v>1+90,8955366034198i</v>
      </c>
      <c r="BA360">
        <f t="shared" si="356"/>
        <v>90.9010372571382</v>
      </c>
      <c r="BB360">
        <f t="shared" si="357"/>
        <v>1.55979513031229</v>
      </c>
      <c r="BC360" s="30" t="str">
        <f t="shared" si="358"/>
        <v>-0,0262092069344592+0,0511890937261459i</v>
      </c>
      <c r="BD360" s="32">
        <f t="shared" si="359"/>
        <v>-24.8053352053806</v>
      </c>
      <c r="BE360" s="31">
        <f t="shared" si="360"/>
        <v>117.112793126853</v>
      </c>
      <c r="BF360" s="30" t="str">
        <f t="shared" si="361"/>
        <v>0,0618339698200152+0,000781589818016324i</v>
      </c>
      <c r="BG360" s="68">
        <f t="shared" si="362"/>
        <v>-24.1747635767723</v>
      </c>
      <c r="BH360" s="31">
        <f t="shared" si="363"/>
        <v>0.724187906208616</v>
      </c>
      <c r="BI360" s="30" t="str">
        <f t="shared" si="316"/>
        <v>0,048425062466403+0,151283363565256i</v>
      </c>
      <c r="BJ360" s="68">
        <f t="shared" si="364"/>
        <v>-15.9805447278021</v>
      </c>
      <c r="BK360" s="31">
        <f t="shared" si="317"/>
        <v>72.2503861317456</v>
      </c>
      <c r="BL360" s="32">
        <f t="shared" si="365"/>
        <v>-24.1747635767723</v>
      </c>
      <c r="BM360" s="31">
        <f t="shared" si="366"/>
        <v>0.724187906208616</v>
      </c>
      <c r="BO360">
        <f t="shared" si="367"/>
        <v>0</v>
      </c>
      <c r="BP360">
        <f t="shared" si="368"/>
        <v>0</v>
      </c>
    </row>
    <row r="361" spans="14:68">
      <c r="N361" s="7">
        <v>43</v>
      </c>
      <c r="O361" s="18">
        <f t="shared" si="318"/>
        <v>26915.3480392692</v>
      </c>
      <c r="P361" s="86" t="str">
        <f t="shared" si="319"/>
        <v>163,636363636364</v>
      </c>
      <c r="Q361" s="4" t="str">
        <f t="shared" si="320"/>
        <v>1+1033,13352904645i</v>
      </c>
      <c r="R361" s="4">
        <f t="shared" si="331"/>
        <v>1033.13401301088</v>
      </c>
      <c r="S361" s="4">
        <f t="shared" si="332"/>
        <v>1.5698283980039</v>
      </c>
      <c r="T361" s="4" t="str">
        <f t="shared" si="321"/>
        <v>1+2,65170939121923i</v>
      </c>
      <c r="U361" s="4">
        <f t="shared" si="333"/>
        <v>2.83400118127715</v>
      </c>
      <c r="V361" s="4">
        <f t="shared" si="334"/>
        <v>1.21017249814437</v>
      </c>
      <c r="W361" t="str">
        <f t="shared" si="322"/>
        <v>1-2,53671179006942i</v>
      </c>
      <c r="X361" s="4">
        <f t="shared" si="335"/>
        <v>2.72670253344167</v>
      </c>
      <c r="Y361" s="4">
        <f t="shared" si="336"/>
        <v>-1.19529030201106</v>
      </c>
      <c r="Z361" t="str">
        <f t="shared" si="323"/>
        <v>0,994086237060612+0,52546172794295i</v>
      </c>
      <c r="AA361" s="4">
        <f t="shared" si="337"/>
        <v>1.12441872727473</v>
      </c>
      <c r="AB361" s="4">
        <f t="shared" si="338"/>
        <v>0.486255327781688</v>
      </c>
      <c r="AC361" s="67" t="str">
        <f t="shared" si="339"/>
        <v>-0,493364969072379-0,97028218187452i</v>
      </c>
      <c r="AD361" s="68">
        <f t="shared" si="340"/>
        <v>0.736657572778333</v>
      </c>
      <c r="AE361" s="31">
        <f t="shared" si="341"/>
        <v>-116.952232784723</v>
      </c>
      <c r="AF361" s="32" t="str">
        <f t="shared" si="342"/>
        <v>748,315388573934</v>
      </c>
      <c r="AG361" s="32" t="str">
        <f t="shared" si="324"/>
        <v>1+841,812505148962i</v>
      </c>
      <c r="AH361" s="32">
        <f t="shared" si="343"/>
        <v>841.813099105242</v>
      </c>
      <c r="AI361" s="32">
        <f t="shared" si="344"/>
        <v>1.56960841437556</v>
      </c>
      <c r="AJ361" s="32" t="str">
        <f t="shared" si="325"/>
        <v>1+2,65170939121923i</v>
      </c>
      <c r="AK361" s="32">
        <f t="shared" si="345"/>
        <v>2.83400118127715</v>
      </c>
      <c r="AL361" s="32">
        <f t="shared" si="346"/>
        <v>1.21017249814437</v>
      </c>
      <c r="AM361" s="32" t="str">
        <f t="shared" si="326"/>
        <v>1-0,451976495591894i</v>
      </c>
      <c r="AN361" s="32">
        <f t="shared" si="347"/>
        <v>1.09739817412256</v>
      </c>
      <c r="AO361" s="32">
        <f t="shared" si="348"/>
        <v>-0.424496365211116</v>
      </c>
      <c r="AP361" s="30" t="str">
        <f t="shared" si="349"/>
        <v>1,95773520880064-1,95200398855679i</v>
      </c>
      <c r="AQ361" s="32">
        <f t="shared" si="350"/>
        <v>8.83266514274716</v>
      </c>
      <c r="AR361" s="31">
        <f t="shared" si="351"/>
        <v>-44.9160111507055</v>
      </c>
      <c r="AS361" t="str">
        <f t="shared" si="327"/>
        <v>-0,0000504684572142411</v>
      </c>
      <c r="AT361" t="str">
        <f t="shared" si="328"/>
        <v>0,0379999426152399i</v>
      </c>
      <c r="AU361">
        <f t="shared" si="352"/>
        <v>0.0379999426152399</v>
      </c>
      <c r="AV361">
        <f t="shared" si="353"/>
        <v>1.5707963267949</v>
      </c>
      <c r="AW361" t="str">
        <f t="shared" si="329"/>
        <v>1+1,94552736310026i</v>
      </c>
      <c r="AX361">
        <f t="shared" si="354"/>
        <v>2.18748182176946</v>
      </c>
      <c r="AY361">
        <f t="shared" si="355"/>
        <v>1.09601198187383</v>
      </c>
      <c r="AZ361" t="str">
        <f t="shared" si="330"/>
        <v>1+93,0127656358785i</v>
      </c>
      <c r="BA361">
        <f t="shared" si="356"/>
        <v>93.0181410867518</v>
      </c>
      <c r="BB361">
        <f t="shared" si="357"/>
        <v>1.56004552859733</v>
      </c>
      <c r="BC361" s="30" t="str">
        <f t="shared" si="358"/>
        <v>-0,025276116534353+0,0505034956512327i</v>
      </c>
      <c r="BD361" s="32">
        <f t="shared" si="359"/>
        <v>-24.9627941690538</v>
      </c>
      <c r="BE361" s="31">
        <f t="shared" si="360"/>
        <v>116.587163779743</v>
      </c>
      <c r="BF361" s="30" t="str">
        <f t="shared" si="361"/>
        <v>0,0614729924050093-0,000391690069750789i</v>
      </c>
      <c r="BG361" s="68">
        <f t="shared" si="362"/>
        <v>-24.2261365962755</v>
      </c>
      <c r="BH361" s="31">
        <f t="shared" si="363"/>
        <v>-0.365069004979696</v>
      </c>
      <c r="BI361" s="30" t="str">
        <f t="shared" si="316"/>
        <v>0,0490990816662158+0,148211551894212i</v>
      </c>
      <c r="BJ361" s="68">
        <f t="shared" si="364"/>
        <v>-16.1301290263066</v>
      </c>
      <c r="BK361" s="31">
        <f t="shared" si="317"/>
        <v>71.6711526290379</v>
      </c>
      <c r="BL361" s="32">
        <f t="shared" si="365"/>
        <v>-24.2261365962755</v>
      </c>
      <c r="BM361" s="31">
        <f t="shared" si="366"/>
        <v>-0.365069004979696</v>
      </c>
      <c r="BO361">
        <f t="shared" si="367"/>
        <v>0</v>
      </c>
      <c r="BP361">
        <f t="shared" si="368"/>
        <v>0</v>
      </c>
    </row>
    <row r="362" spans="14:68">
      <c r="N362" s="7">
        <v>44</v>
      </c>
      <c r="O362" s="18">
        <f t="shared" si="318"/>
        <v>27542.2870333817</v>
      </c>
      <c r="P362" s="86" t="str">
        <f t="shared" si="319"/>
        <v>163,636363636364</v>
      </c>
      <c r="Q362" s="4" t="str">
        <f t="shared" si="320"/>
        <v>1+1057,19830036352i</v>
      </c>
      <c r="R362" s="4">
        <f t="shared" si="331"/>
        <v>1057.19877331158</v>
      </c>
      <c r="S362" s="4">
        <f t="shared" si="332"/>
        <v>1.56985043073981</v>
      </c>
      <c r="T362" s="4" t="str">
        <f t="shared" si="321"/>
        <v>1+2,71347563759971i</v>
      </c>
      <c r="U362" s="4">
        <f t="shared" si="333"/>
        <v>2.89187655957981</v>
      </c>
      <c r="V362" s="4">
        <f t="shared" si="334"/>
        <v>1.21770909947775</v>
      </c>
      <c r="W362" t="str">
        <f t="shared" si="322"/>
        <v>1-2,59579939821401i</v>
      </c>
      <c r="X362" s="4">
        <f t="shared" si="335"/>
        <v>2.78175745092347</v>
      </c>
      <c r="Y362" s="4">
        <f t="shared" si="336"/>
        <v>-1.2030804154368</v>
      </c>
      <c r="Z362" t="str">
        <f t="shared" si="323"/>
        <v>0,993807529999762+0,537701303915758i</v>
      </c>
      <c r="AA362" s="4">
        <f t="shared" si="337"/>
        <v>1.12994517518194</v>
      </c>
      <c r="AB362" s="4">
        <f t="shared" si="338"/>
        <v>0.495947205976232</v>
      </c>
      <c r="AC362" s="67" t="str">
        <f t="shared" si="339"/>
        <v>-0,509225163419444-0,97724094235342i</v>
      </c>
      <c r="AD362" s="68">
        <f t="shared" si="340"/>
        <v>0.843296167349322</v>
      </c>
      <c r="AE362" s="31">
        <f t="shared" si="341"/>
        <v>-117.523324056552</v>
      </c>
      <c r="AF362" s="32" t="str">
        <f t="shared" si="342"/>
        <v>748,315388573934</v>
      </c>
      <c r="AG362" s="32" t="str">
        <f t="shared" si="324"/>
        <v>1+861,420837333241i</v>
      </c>
      <c r="AH362" s="32">
        <f t="shared" si="343"/>
        <v>861.421417769434</v>
      </c>
      <c r="AI362" s="32">
        <f t="shared" si="344"/>
        <v>1.56963545453891</v>
      </c>
      <c r="AJ362" s="32" t="str">
        <f t="shared" si="325"/>
        <v>1+2,71347563759971i</v>
      </c>
      <c r="AK362" s="32">
        <f t="shared" si="345"/>
        <v>2.89187655957981</v>
      </c>
      <c r="AL362" s="32">
        <f t="shared" si="346"/>
        <v>1.21770909947775</v>
      </c>
      <c r="AM362" s="32" t="str">
        <f t="shared" si="326"/>
        <v>1-0,462504380614799i</v>
      </c>
      <c r="AN362" s="32">
        <f t="shared" si="347"/>
        <v>1.10177597636175</v>
      </c>
      <c r="AO362" s="32">
        <f t="shared" si="348"/>
        <v>-0.433203777118457</v>
      </c>
      <c r="AP362" s="30" t="str">
        <f t="shared" si="349"/>
        <v>1,95768780646735-1,95663864475649i</v>
      </c>
      <c r="AQ362" s="32">
        <f t="shared" si="350"/>
        <v>8.84284120721136</v>
      </c>
      <c r="AR362" s="31">
        <f t="shared" si="351"/>
        <v>-44.9846429424402</v>
      </c>
      <c r="AS362" t="str">
        <f t="shared" si="327"/>
        <v>-0,0000504684572142411</v>
      </c>
      <c r="AT362" t="str">
        <f t="shared" si="328"/>
        <v>0,0388850749852457i</v>
      </c>
      <c r="AU362">
        <f t="shared" si="352"/>
        <v>0.0388850749852457</v>
      </c>
      <c r="AV362">
        <f t="shared" si="353"/>
        <v>1.5707963267949</v>
      </c>
      <c r="AW362" t="str">
        <f t="shared" si="329"/>
        <v>1+1,99084451695096i</v>
      </c>
      <c r="AX362">
        <f t="shared" si="354"/>
        <v>2.22788282696234</v>
      </c>
      <c r="AY362">
        <f t="shared" si="355"/>
        <v>1.10531089277553</v>
      </c>
      <c r="AZ362" t="str">
        <f t="shared" si="330"/>
        <v>1+95,1793112678468i</v>
      </c>
      <c r="BA362">
        <f t="shared" si="356"/>
        <v>95.1845643653511</v>
      </c>
      <c r="BB362">
        <f t="shared" si="357"/>
        <v>1.56029022842427</v>
      </c>
      <c r="BC362" s="30" t="str">
        <f t="shared" si="358"/>
        <v>-0,0243677013098972+0,0498101921580587i</v>
      </c>
      <c r="BD362" s="32">
        <f t="shared" si="359"/>
        <v>-25.121774623833</v>
      </c>
      <c r="BE362" s="31">
        <f t="shared" si="360"/>
        <v>116.068395698339</v>
      </c>
      <c r="BF362" s="30" t="str">
        <f t="shared" si="361"/>
        <v>0,0610852058050348-0,00155148785057075i</v>
      </c>
      <c r="BG362" s="68">
        <f t="shared" si="362"/>
        <v>-24.2784784564837</v>
      </c>
      <c r="BH362" s="31">
        <f t="shared" si="363"/>
        <v>-1.45492835821309</v>
      </c>
      <c r="BI362" s="30" t="str">
        <f t="shared" si="316"/>
        <v>0,0497561951531801+0,145191591892455i</v>
      </c>
      <c r="BJ362" s="68">
        <f t="shared" si="364"/>
        <v>-16.2789334166217</v>
      </c>
      <c r="BK362" s="31">
        <f t="shared" si="317"/>
        <v>71.0837527558987</v>
      </c>
      <c r="BL362" s="32">
        <f t="shared" si="365"/>
        <v>-24.2784784564837</v>
      </c>
      <c r="BM362" s="31">
        <f t="shared" si="366"/>
        <v>-1.45492835821309</v>
      </c>
      <c r="BO362">
        <f t="shared" si="367"/>
        <v>0</v>
      </c>
      <c r="BP362">
        <f t="shared" si="368"/>
        <v>0</v>
      </c>
    </row>
    <row r="363" spans="14:68">
      <c r="N363" s="7">
        <v>45</v>
      </c>
      <c r="O363" s="18">
        <f t="shared" si="318"/>
        <v>28183.8293126446</v>
      </c>
      <c r="P363" s="86" t="str">
        <f t="shared" si="319"/>
        <v>163,636363636364</v>
      </c>
      <c r="Q363" s="4" t="str">
        <f t="shared" si="320"/>
        <v>1+1081,82361221312i</v>
      </c>
      <c r="R363" s="4">
        <f t="shared" si="331"/>
        <v>1081.82407439558</v>
      </c>
      <c r="S363" s="4">
        <f t="shared" si="332"/>
        <v>1.5698719619503</v>
      </c>
      <c r="T363" s="4" t="str">
        <f t="shared" si="321"/>
        <v>1+2,77668060468033i</v>
      </c>
      <c r="U363" s="4">
        <f t="shared" si="333"/>
        <v>2.95126331939526</v>
      </c>
      <c r="V363" s="4">
        <f t="shared" si="334"/>
        <v>1.22511482254968</v>
      </c>
      <c r="W363" t="str">
        <f t="shared" si="322"/>
        <v>1-2,65626333355899i</v>
      </c>
      <c r="X363" s="4">
        <f t="shared" si="335"/>
        <v>2.83826265472558</v>
      </c>
      <c r="Y363" s="4">
        <f t="shared" si="336"/>
        <v>-1.2107386526147</v>
      </c>
      <c r="Z363" t="str">
        <f t="shared" si="323"/>
        <v>0,993515687879802+0,550225976237219i</v>
      </c>
      <c r="AA363" s="4">
        <f t="shared" si="337"/>
        <v>1.13570332701348</v>
      </c>
      <c r="AB363" s="4">
        <f t="shared" si="338"/>
        <v>0.505769080938266</v>
      </c>
      <c r="AC363" s="67" t="str">
        <f t="shared" si="339"/>
        <v>-0,525503871707204-0,984107807244153i</v>
      </c>
      <c r="AD363" s="68">
        <f t="shared" si="340"/>
        <v>0.950376462106049</v>
      </c>
      <c r="AE363" s="31">
        <f t="shared" si="341"/>
        <v>-118.10177767881</v>
      </c>
      <c r="AF363" s="32" t="str">
        <f t="shared" si="342"/>
        <v>748,315388573934</v>
      </c>
      <c r="AG363" s="32" t="str">
        <f t="shared" si="324"/>
        <v>1+881,485906247725i</v>
      </c>
      <c r="AH363" s="32">
        <f t="shared" si="343"/>
        <v>881.486473471586</v>
      </c>
      <c r="AI363" s="32">
        <f t="shared" si="344"/>
        <v>1.56966187919463</v>
      </c>
      <c r="AJ363" s="32" t="str">
        <f t="shared" si="325"/>
        <v>1+2,77668060468033i</v>
      </c>
      <c r="AK363" s="32">
        <f t="shared" si="345"/>
        <v>2.95126331939526</v>
      </c>
      <c r="AL363" s="32">
        <f t="shared" si="346"/>
        <v>1.22511482254968</v>
      </c>
      <c r="AM363" s="32" t="str">
        <f t="shared" si="326"/>
        <v>1-0,473277491582275i</v>
      </c>
      <c r="AN363" s="32">
        <f t="shared" si="347"/>
        <v>1.10634153137194</v>
      </c>
      <c r="AO363" s="32">
        <f t="shared" si="348"/>
        <v>-0.442041986234416</v>
      </c>
      <c r="AP363" s="30" t="str">
        <f t="shared" si="349"/>
        <v>1,95764253758486-1,96231073171017i</v>
      </c>
      <c r="AQ363" s="32">
        <f t="shared" si="350"/>
        <v>8.85532399694824</v>
      </c>
      <c r="AR363" s="31">
        <f t="shared" si="351"/>
        <v>-45.068232368223</v>
      </c>
      <c r="AS363" t="str">
        <f t="shared" si="327"/>
        <v>-0,0000504684572142411</v>
      </c>
      <c r="AT363" t="str">
        <f t="shared" si="328"/>
        <v>0,0397908247367137i</v>
      </c>
      <c r="AU363">
        <f t="shared" si="352"/>
        <v>0.0397908247367137</v>
      </c>
      <c r="AV363">
        <f t="shared" si="353"/>
        <v>1.5707963267949</v>
      </c>
      <c r="AW363" t="str">
        <f t="shared" si="329"/>
        <v>1+2,03721724291648i</v>
      </c>
      <c r="AX363">
        <f t="shared" si="354"/>
        <v>2.26941712667289</v>
      </c>
      <c r="AY363">
        <f t="shared" si="355"/>
        <v>1.11448285043863</v>
      </c>
      <c r="AZ363" t="str">
        <f t="shared" si="330"/>
        <v>1+97,3963222304962i</v>
      </c>
      <c r="BA363">
        <f t="shared" si="356"/>
        <v>97.4014557592783</v>
      </c>
      <c r="BB363">
        <f t="shared" si="357"/>
        <v>1.56052935941893</v>
      </c>
      <c r="BC363" s="30" t="str">
        <f t="shared" si="358"/>
        <v>-0,0234839203246807+0,0491101915022731i</v>
      </c>
      <c r="BD363" s="32">
        <f t="shared" si="359"/>
        <v>-25.2822358416725</v>
      </c>
      <c r="BE363" s="31">
        <f t="shared" si="360"/>
        <v>115.556582431115</v>
      </c>
      <c r="BF363" s="30" t="str">
        <f t="shared" si="361"/>
        <v>0,0606706139261256-0,00269688643850883i</v>
      </c>
      <c r="BG363" s="68">
        <f t="shared" si="362"/>
        <v>-24.3318593795665</v>
      </c>
      <c r="BH363" s="31">
        <f t="shared" si="363"/>
        <v>-2.54519524769502</v>
      </c>
      <c r="BI363" s="30" t="str">
        <f t="shared" si="316"/>
        <v>0,0503963344444035+0,142222948789536i</v>
      </c>
      <c r="BJ363" s="68">
        <f t="shared" si="364"/>
        <v>-16.4269118447243</v>
      </c>
      <c r="BK363" s="31">
        <f t="shared" si="317"/>
        <v>70.4883500628924</v>
      </c>
      <c r="BL363" s="32">
        <f t="shared" si="365"/>
        <v>-24.3318593795665</v>
      </c>
      <c r="BM363" s="31">
        <f t="shared" si="366"/>
        <v>-2.54519524769502</v>
      </c>
      <c r="BO363">
        <f t="shared" si="367"/>
        <v>0</v>
      </c>
      <c r="BP363">
        <f t="shared" si="368"/>
        <v>0</v>
      </c>
    </row>
    <row r="364" spans="14:68">
      <c r="N364" s="7">
        <v>46</v>
      </c>
      <c r="O364" s="18">
        <f t="shared" si="318"/>
        <v>28840.3150312661</v>
      </c>
      <c r="P364" s="86" t="str">
        <f t="shared" si="319"/>
        <v>163,636363636364</v>
      </c>
      <c r="Q364" s="4" t="str">
        <f t="shared" si="320"/>
        <v>1+1107,02252126154i</v>
      </c>
      <c r="R364" s="4">
        <f t="shared" si="331"/>
        <v>1107.02297292344</v>
      </c>
      <c r="S364" s="4">
        <f t="shared" si="332"/>
        <v>1.56989300305144</v>
      </c>
      <c r="T364" s="4" t="str">
        <f t="shared" si="321"/>
        <v>1+2,84135780457127i</v>
      </c>
      <c r="U364" s="4">
        <f t="shared" si="333"/>
        <v>3.0121942456618</v>
      </c>
      <c r="V364" s="4">
        <f t="shared" si="334"/>
        <v>1.2323903436781</v>
      </c>
      <c r="W364" t="str">
        <f t="shared" si="322"/>
        <v>1-2,71813565488323i</v>
      </c>
      <c r="X364" s="4">
        <f t="shared" si="335"/>
        <v>2.89624954697407</v>
      </c>
      <c r="Y364" s="4">
        <f t="shared" si="336"/>
        <v>-1.21826547987459</v>
      </c>
      <c r="Z364" t="str">
        <f t="shared" si="323"/>
        <v>0,993210091664468+0,563042385654384i</v>
      </c>
      <c r="AA364" s="4">
        <f t="shared" si="337"/>
        <v>1.14170180617687</v>
      </c>
      <c r="AB364" s="4">
        <f t="shared" si="338"/>
        <v>0.5157191966305</v>
      </c>
      <c r="AC364" s="67" t="str">
        <f t="shared" si="339"/>
        <v>-0,542199980809575-0,990862416550559i</v>
      </c>
      <c r="AD364" s="68">
        <f t="shared" si="340"/>
        <v>1.05778903579954</v>
      </c>
      <c r="AE364" s="31">
        <f t="shared" si="341"/>
        <v>-118.687481660633</v>
      </c>
      <c r="AF364" s="32" t="str">
        <f t="shared" si="342"/>
        <v>748,315388573934</v>
      </c>
      <c r="AG364" s="32" t="str">
        <f t="shared" si="324"/>
        <v>1+902,018350657547i</v>
      </c>
      <c r="AH364" s="32">
        <f t="shared" si="343"/>
        <v>902.018904969825</v>
      </c>
      <c r="AI364" s="32">
        <f t="shared" si="344"/>
        <v>1.56968770235329</v>
      </c>
      <c r="AJ364" s="32" t="str">
        <f t="shared" si="325"/>
        <v>1+2,84135780457127i</v>
      </c>
      <c r="AK364" s="32">
        <f t="shared" si="345"/>
        <v>3.0121942456618</v>
      </c>
      <c r="AL364" s="32">
        <f t="shared" si="346"/>
        <v>1.2323903436781</v>
      </c>
      <c r="AM364" s="32" t="str">
        <f t="shared" si="326"/>
        <v>1-0,484301540540356i</v>
      </c>
      <c r="AN364" s="32">
        <f t="shared" si="347"/>
        <v>1.11110214749579</v>
      </c>
      <c r="AO364" s="32">
        <f t="shared" si="348"/>
        <v>-0.451010154580911</v>
      </c>
      <c r="AP364" s="30" t="str">
        <f t="shared" si="349"/>
        <v>1,9575993061326-1,96902325716409i</v>
      </c>
      <c r="AQ364" s="32">
        <f t="shared" si="350"/>
        <v>8.87011995974157</v>
      </c>
      <c r="AR364" s="31">
        <f t="shared" si="351"/>
        <v>-45.1666934680275</v>
      </c>
      <c r="AS364" t="str">
        <f t="shared" si="327"/>
        <v>-0,0000504684572142411</v>
      </c>
      <c r="AT364" t="str">
        <f t="shared" si="328"/>
        <v>0,0407176721101507i</v>
      </c>
      <c r="AU364">
        <f t="shared" si="352"/>
        <v>0.0407176721101507</v>
      </c>
      <c r="AV364">
        <f t="shared" si="353"/>
        <v>1.5707963267949</v>
      </c>
      <c r="AW364" t="str">
        <f t="shared" si="329"/>
        <v>1+2,08467012842995i</v>
      </c>
      <c r="AX364">
        <f t="shared" si="354"/>
        <v>2.31210932794454</v>
      </c>
      <c r="AY364">
        <f t="shared" si="355"/>
        <v>1.12352654429443</v>
      </c>
      <c r="AZ364" t="str">
        <f t="shared" si="330"/>
        <v>1+99,664974012385i</v>
      </c>
      <c r="BA364">
        <f t="shared" si="356"/>
        <v>99.6699906937358</v>
      </c>
      <c r="BB364">
        <f t="shared" si="357"/>
        <v>1.56076304826225</v>
      </c>
      <c r="BC364" s="30" t="str">
        <f t="shared" si="358"/>
        <v>-0,0226246840303265+0,0484044760125732i</v>
      </c>
      <c r="BD364" s="32">
        <f t="shared" si="359"/>
        <v>-25.4441372006556</v>
      </c>
      <c r="BE364" s="31">
        <f t="shared" si="360"/>
        <v>115.051806326411</v>
      </c>
      <c r="BF364" s="30" t="str">
        <f t="shared" si="361"/>
        <v>0,0602292793207476-0,00382695687313257i</v>
      </c>
      <c r="BG364" s="68">
        <f t="shared" si="362"/>
        <v>-24.3863481648561</v>
      </c>
      <c r="BH364" s="31">
        <f t="shared" si="363"/>
        <v>-3.63567533422125</v>
      </c>
      <c r="BI364" s="30" t="str">
        <f t="shared" si="316"/>
        <v>0,0510194732603615+0,139305097697627i</v>
      </c>
      <c r="BJ364" s="68">
        <f t="shared" si="364"/>
        <v>-16.574017240914</v>
      </c>
      <c r="BK364" s="31">
        <f t="shared" si="317"/>
        <v>69.8851128583837</v>
      </c>
      <c r="BL364" s="32">
        <f t="shared" si="365"/>
        <v>-24.3863481648561</v>
      </c>
      <c r="BM364" s="31">
        <f t="shared" si="366"/>
        <v>-3.63567533422125</v>
      </c>
      <c r="BO364">
        <f t="shared" si="367"/>
        <v>0</v>
      </c>
      <c r="BP364">
        <f t="shared" si="368"/>
        <v>0</v>
      </c>
    </row>
    <row r="365" spans="14:68">
      <c r="N365" s="7">
        <v>47</v>
      </c>
      <c r="O365" s="18">
        <f t="shared" si="318"/>
        <v>29512.0922666639</v>
      </c>
      <c r="P365" s="86" t="str">
        <f t="shared" si="319"/>
        <v>163,636363636364</v>
      </c>
      <c r="Q365" s="4" t="str">
        <f t="shared" si="320"/>
        <v>1+1132,8083883039i</v>
      </c>
      <c r="R365" s="4">
        <f t="shared" si="331"/>
        <v>1132.80882968473</v>
      </c>
      <c r="S365" s="4">
        <f t="shared" si="332"/>
        <v>1.56991356519941</v>
      </c>
      <c r="T365" s="4" t="str">
        <f t="shared" si="321"/>
        <v>1+2,90754152998001i</v>
      </c>
      <c r="U365" s="4">
        <f t="shared" si="333"/>
        <v>3.07470287158914</v>
      </c>
      <c r="V365" s="4">
        <f t="shared" si="334"/>
        <v>1.2395364385532</v>
      </c>
      <c r="W365" t="str">
        <f t="shared" si="322"/>
        <v>1-2,78144916771047i</v>
      </c>
      <c r="X365" s="4">
        <f t="shared" si="335"/>
        <v>2.95575023852782</v>
      </c>
      <c r="Y365" s="4">
        <f t="shared" si="336"/>
        <v>-1.22566147570051</v>
      </c>
      <c r="Z365" t="str">
        <f t="shared" si="323"/>
        <v>0,992890093143216+0,576157327597168i</v>
      </c>
      <c r="AA365" s="4">
        <f t="shared" si="337"/>
        <v>1.14794947763647</v>
      </c>
      <c r="AB365" s="4">
        <f t="shared" si="338"/>
        <v>0.525795595041685</v>
      </c>
      <c r="AC365" s="67" t="str">
        <f t="shared" si="339"/>
        <v>-0,559311408997897-0,997484136223634i</v>
      </c>
      <c r="AD365" s="68">
        <f t="shared" si="340"/>
        <v>1.16542612945963</v>
      </c>
      <c r="AE365" s="31">
        <f t="shared" si="341"/>
        <v>-119.280313156361</v>
      </c>
      <c r="AF365" s="32" t="str">
        <f t="shared" si="342"/>
        <v>748,315388573934</v>
      </c>
      <c r="AG365" s="32" t="str">
        <f t="shared" si="324"/>
        <v>1+923,029057136511i</v>
      </c>
      <c r="AH365" s="32">
        <f t="shared" si="343"/>
        <v>923.029598831108</v>
      </c>
      <c r="AI365" s="32">
        <f t="shared" si="344"/>
        <v>1.56971293770652</v>
      </c>
      <c r="AJ365" s="32" t="str">
        <f t="shared" si="325"/>
        <v>1+2,90754152998001i</v>
      </c>
      <c r="AK365" s="32">
        <f t="shared" si="345"/>
        <v>3.07470287158914</v>
      </c>
      <c r="AL365" s="32">
        <f t="shared" si="346"/>
        <v>1.2395364385532</v>
      </c>
      <c r="AM365" s="32" t="str">
        <f t="shared" si="326"/>
        <v>1-0,495582372585719i</v>
      </c>
      <c r="AN365" s="32">
        <f t="shared" si="347"/>
        <v>1.11606536010114</v>
      </c>
      <c r="AO365" s="32">
        <f t="shared" si="348"/>
        <v>-0.460107265868155</v>
      </c>
      <c r="AP365" s="30" t="str">
        <f t="shared" si="349"/>
        <v>1,95755802041153-1,97677978049676i</v>
      </c>
      <c r="AQ365" s="32">
        <f t="shared" si="350"/>
        <v>8.88723661719102</v>
      </c>
      <c r="AR365" s="31">
        <f t="shared" si="351"/>
        <v>-45.2799243534391</v>
      </c>
      <c r="AS365" t="str">
        <f t="shared" si="327"/>
        <v>-0,0000504684572142411</v>
      </c>
      <c r="AT365" t="str">
        <f t="shared" si="328"/>
        <v>0,0416661085323028i</v>
      </c>
      <c r="AU365">
        <f t="shared" si="352"/>
        <v>0.0416661085323028</v>
      </c>
      <c r="AV365">
        <f t="shared" si="353"/>
        <v>1.5707963267949</v>
      </c>
      <c r="AW365" t="str">
        <f t="shared" si="329"/>
        <v>1+2,13322833363939i</v>
      </c>
      <c r="AX365">
        <f t="shared" si="354"/>
        <v>2.35598453378665</v>
      </c>
      <c r="AY365">
        <f t="shared" si="355"/>
        <v>1.13244085109667</v>
      </c>
      <c r="AZ365" t="str">
        <f t="shared" si="330"/>
        <v>1+101,986469482717i</v>
      </c>
      <c r="BA365">
        <f t="shared" si="356"/>
        <v>101.991371976012</v>
      </c>
      <c r="BB365">
        <f t="shared" si="357"/>
        <v>1.560991418757</v>
      </c>
      <c r="BC365" s="30" t="str">
        <f t="shared" si="358"/>
        <v>-0,0217898571981785+0,0476939999593415i</v>
      </c>
      <c r="BD365" s="32">
        <f t="shared" si="359"/>
        <v>-25.6074382630614</v>
      </c>
      <c r="BE365" s="31">
        <f t="shared" si="360"/>
        <v>114.554138834873</v>
      </c>
      <c r="BF365" s="30" t="str">
        <f t="shared" si="361"/>
        <v>0,05976132408387-0,00494076143224352i</v>
      </c>
      <c r="BG365" s="68">
        <f t="shared" si="362"/>
        <v>-24.4420121336018</v>
      </c>
      <c r="BH365" s="31">
        <f t="shared" si="363"/>
        <v>-4.72617432148816</v>
      </c>
      <c r="BI365" s="30" t="str">
        <f t="shared" si="316"/>
        <v>0,0516256250487233+0,136437521275187i</v>
      </c>
      <c r="BJ365" s="68">
        <f t="shared" si="364"/>
        <v>-16.7202016458704</v>
      </c>
      <c r="BK365" s="31">
        <f t="shared" si="317"/>
        <v>69.2742144814334</v>
      </c>
      <c r="BL365" s="32">
        <f t="shared" si="365"/>
        <v>-24.4420121336018</v>
      </c>
      <c r="BM365" s="31">
        <f t="shared" si="366"/>
        <v>-4.72617432148816</v>
      </c>
      <c r="BO365">
        <f t="shared" si="367"/>
        <v>0</v>
      </c>
      <c r="BP365">
        <f t="shared" si="368"/>
        <v>0</v>
      </c>
    </row>
    <row r="366" spans="14:68">
      <c r="N366" s="7">
        <v>48</v>
      </c>
      <c r="O366" s="18">
        <f t="shared" si="318"/>
        <v>30199.5172040202</v>
      </c>
      <c r="P366" s="86" t="str">
        <f t="shared" si="319"/>
        <v>163,636363636364</v>
      </c>
      <c r="Q366" s="4" t="str">
        <f t="shared" si="320"/>
        <v>1+1159,19488534824i</v>
      </c>
      <c r="R366" s="4">
        <f t="shared" si="331"/>
        <v>1159.19531668202</v>
      </c>
      <c r="S366" s="4">
        <f t="shared" si="332"/>
        <v>1.56993365929647</v>
      </c>
      <c r="T366" s="4" t="str">
        <f t="shared" si="321"/>
        <v>1+2,9752668723938i</v>
      </c>
      <c r="U366" s="4">
        <f t="shared" si="333"/>
        <v>3.13882349965142</v>
      </c>
      <c r="V366" s="4">
        <f t="shared" si="334"/>
        <v>1.24655397577949</v>
      </c>
      <c r="W366" t="str">
        <f t="shared" si="322"/>
        <v>1-2,84623744170326i</v>
      </c>
      <c r="X366" s="4">
        <f t="shared" si="335"/>
        <v>3.01679756936947</v>
      </c>
      <c r="Y366" s="4">
        <f t="shared" si="336"/>
        <v>-1.23292732404129</v>
      </c>
      <c r="Z366" t="str">
        <f t="shared" si="323"/>
        <v>0,992555013556278+0,589577755781389i</v>
      </c>
      <c r="AA366" s="4">
        <f t="shared" si="337"/>
        <v>1.15445544957262</v>
      </c>
      <c r="AB366" s="4">
        <f t="shared" si="338"/>
        <v>0.535996113107566</v>
      </c>
      <c r="AC366" s="67" t="str">
        <f t="shared" si="339"/>
        <v>-0,576835064053998-1,00395211280908i</v>
      </c>
      <c r="AD366" s="68">
        <f t="shared" si="340"/>
        <v>1.27318177670719</v>
      </c>
      <c r="AE366" s="31">
        <f t="shared" si="341"/>
        <v>-119.880138276204</v>
      </c>
      <c r="AF366" s="32" t="str">
        <f t="shared" si="342"/>
        <v>748,315388573934</v>
      </c>
      <c r="AG366" s="32" t="str">
        <f t="shared" si="324"/>
        <v>1+944,529165839303i</v>
      </c>
      <c r="AH366" s="32">
        <f t="shared" si="343"/>
        <v>944.529695203433</v>
      </c>
      <c r="AI366" s="32">
        <f t="shared" si="344"/>
        <v>1.56973759863431</v>
      </c>
      <c r="AJ366" s="32" t="str">
        <f t="shared" si="325"/>
        <v>1+2,9752668723938i</v>
      </c>
      <c r="AK366" s="32">
        <f t="shared" si="345"/>
        <v>3.13882349965142</v>
      </c>
      <c r="AL366" s="32">
        <f t="shared" si="346"/>
        <v>1.24655397577949</v>
      </c>
      <c r="AM366" s="32" t="str">
        <f t="shared" si="326"/>
        <v>1-0,507125968964836i</v>
      </c>
      <c r="AN366" s="32">
        <f t="shared" si="347"/>
        <v>1.12123893457127</v>
      </c>
      <c r="AO366" s="32">
        <f t="shared" si="348"/>
        <v>-0.469332119709479</v>
      </c>
      <c r="AP366" s="30" t="str">
        <f t="shared" si="349"/>
        <v>1,95751859284973-1,98558441460752i</v>
      </c>
      <c r="AQ366" s="32">
        <f t="shared" si="350"/>
        <v>8.90668250835081</v>
      </c>
      <c r="AR366" s="31">
        <f t="shared" si="351"/>
        <v>-45.407807246611</v>
      </c>
      <c r="AS366" t="str">
        <f t="shared" si="327"/>
        <v>-0,0000504684572142411</v>
      </c>
      <c r="AT366" t="str">
        <f t="shared" si="328"/>
        <v>0,0426366368767147i</v>
      </c>
      <c r="AU366">
        <f t="shared" si="352"/>
        <v>0.0426366368767147</v>
      </c>
      <c r="AV366">
        <f t="shared" si="353"/>
        <v>1.5707963267949</v>
      </c>
      <c r="AW366" t="str">
        <f t="shared" si="329"/>
        <v>1+2,18291760474794i</v>
      </c>
      <c r="AX366">
        <f t="shared" si="354"/>
        <v>2.40106835994282</v>
      </c>
      <c r="AY366">
        <f t="shared" si="355"/>
        <v>1.1412248293323</v>
      </c>
      <c r="AZ366" t="str">
        <f t="shared" si="330"/>
        <v>1+104,362039529119i</v>
      </c>
      <c r="BA366">
        <f t="shared" si="356"/>
        <v>104.366830433224</v>
      </c>
      <c r="BB366">
        <f t="shared" si="357"/>
        <v>1.56121459189292</v>
      </c>
      <c r="BC366" s="30" t="str">
        <f t="shared" si="358"/>
        <v>-0,0209792618984045+0,0469796877053813i</v>
      </c>
      <c r="BD366" s="32">
        <f t="shared" si="359"/>
        <v>-25.7720988485356</v>
      </c>
      <c r="BE366" s="31">
        <f t="shared" si="360"/>
        <v>114.063640833425</v>
      </c>
      <c r="BF366" s="30" t="str">
        <f t="shared" si="361"/>
        <v>0,0592669306119001-0,00603735685869222i</v>
      </c>
      <c r="BG366" s="68">
        <f t="shared" si="362"/>
        <v>-24.4989170718284</v>
      </c>
      <c r="BH366" s="31">
        <f t="shared" si="363"/>
        <v>-5.81649744277947</v>
      </c>
      <c r="BI366" s="30" t="str">
        <f t="shared" si="316"/>
        <v>0,0522148404805429+0,133619707624999i</v>
      </c>
      <c r="BJ366" s="68">
        <f t="shared" si="364"/>
        <v>-16.8654163401848</v>
      </c>
      <c r="BK366" s="31">
        <f t="shared" si="317"/>
        <v>68.6558335868136</v>
      </c>
      <c r="BL366" s="32">
        <f t="shared" si="365"/>
        <v>-24.4989170718284</v>
      </c>
      <c r="BM366" s="31">
        <f t="shared" si="366"/>
        <v>-5.81649744277947</v>
      </c>
      <c r="BO366">
        <f t="shared" si="367"/>
        <v>0</v>
      </c>
      <c r="BP366">
        <f t="shared" si="368"/>
        <v>0</v>
      </c>
    </row>
    <row r="367" spans="14:68">
      <c r="N367" s="7">
        <v>49</v>
      </c>
      <c r="O367" s="18">
        <f t="shared" si="318"/>
        <v>30902.954325136</v>
      </c>
      <c r="P367" s="86" t="str">
        <f t="shared" si="319"/>
        <v>163,636363636364</v>
      </c>
      <c r="Q367" s="4" t="str">
        <f t="shared" si="320"/>
        <v>1+1186,19600286454i</v>
      </c>
      <c r="R367" s="4">
        <f t="shared" si="331"/>
        <v>1186.19642437996</v>
      </c>
      <c r="S367" s="4">
        <f t="shared" si="332"/>
        <v>1.56995329599671</v>
      </c>
      <c r="T367" s="4" t="str">
        <f t="shared" si="321"/>
        <v>1+3,04456974068565i</v>
      </c>
      <c r="U367" s="4">
        <f t="shared" si="333"/>
        <v>3.20459122290171</v>
      </c>
      <c r="V367" s="4">
        <f t="shared" si="334"/>
        <v>1.2534439105655</v>
      </c>
      <c r="W367" t="str">
        <f t="shared" si="322"/>
        <v>1-2,91253482846204i</v>
      </c>
      <c r="X367" s="4">
        <f t="shared" si="335"/>
        <v>3.07942512930651</v>
      </c>
      <c r="Y367" s="4">
        <f t="shared" si="336"/>
        <v>-1.24006380773207</v>
      </c>
      <c r="Z367" t="str">
        <f t="shared" si="323"/>
        <v>0,992204142154927+0,603310785895709i</v>
      </c>
      <c r="AA367" s="4">
        <f t="shared" si="337"/>
        <v>1.16122907476841</v>
      </c>
      <c r="AB367" s="4">
        <f t="shared" si="338"/>
        <v>0.546318380284993</v>
      </c>
      <c r="AC367" s="67" t="str">
        <f t="shared" si="339"/>
        <v>-0,594766804684576-1,0102453329151i</v>
      </c>
      <c r="AD367" s="68">
        <f t="shared" si="340"/>
        <v>1.38095193117646</v>
      </c>
      <c r="AE367" s="31">
        <f t="shared" si="341"/>
        <v>-120.486811932212</v>
      </c>
      <c r="AF367" s="32" t="str">
        <f t="shared" si="342"/>
        <v>748,315388573934</v>
      </c>
      <c r="AG367" s="32" t="str">
        <f t="shared" si="324"/>
        <v>1+966,530076408144i</v>
      </c>
      <c r="AH367" s="32">
        <f t="shared" si="343"/>
        <v>966.530593722482</v>
      </c>
      <c r="AI367" s="32">
        <f t="shared" si="344"/>
        <v>1.5697616982121</v>
      </c>
      <c r="AJ367" s="32" t="str">
        <f t="shared" si="325"/>
        <v>1+3,04456974068565i</v>
      </c>
      <c r="AK367" s="32">
        <f t="shared" si="345"/>
        <v>3.20459122290171</v>
      </c>
      <c r="AL367" s="32">
        <f t="shared" si="346"/>
        <v>1.2534439105655</v>
      </c>
      <c r="AM367" s="32" t="str">
        <f t="shared" si="326"/>
        <v>1-0,518938450245303i</v>
      </c>
      <c r="AN367" s="32">
        <f t="shared" si="347"/>
        <v>1.1266308690707</v>
      </c>
      <c r="AO367" s="32">
        <f t="shared" si="348"/>
        <v>-0.478683326182261</v>
      </c>
      <c r="AP367" s="30" t="str">
        <f t="shared" si="349"/>
        <v>1,95748093981663-1,99544182809874i</v>
      </c>
      <c r="AQ367" s="32">
        <f t="shared" si="350"/>
        <v>8.92846712523844</v>
      </c>
      <c r="AR367" s="31">
        <f t="shared" si="351"/>
        <v>-45.5502085305938</v>
      </c>
      <c r="AS367" t="str">
        <f t="shared" si="327"/>
        <v>-0,0000504684572142411</v>
      </c>
      <c r="AT367" t="str">
        <f t="shared" si="328"/>
        <v>0,0436297717303614i</v>
      </c>
      <c r="AU367">
        <f t="shared" si="352"/>
        <v>0.0436297717303614</v>
      </c>
      <c r="AV367">
        <f t="shared" si="353"/>
        <v>1.5707963267949</v>
      </c>
      <c r="AW367" t="str">
        <f t="shared" si="329"/>
        <v>1+2,23376428766485i</v>
      </c>
      <c r="AX367">
        <f t="shared" si="354"/>
        <v>2.44738695200552</v>
      </c>
      <c r="AY367">
        <f t="shared" si="355"/>
        <v>1.14987771330791</v>
      </c>
      <c r="AZ367" t="str">
        <f t="shared" si="330"/>
        <v>1+106,792943710275i</v>
      </c>
      <c r="BA367">
        <f t="shared" si="356"/>
        <v>106.797625564925</v>
      </c>
      <c r="BB367">
        <f t="shared" si="357"/>
        <v>1.56143268591036</v>
      </c>
      <c r="BC367" s="30" t="str">
        <f t="shared" si="358"/>
        <v>-0,0201926805016382+0,0462624321308465i</v>
      </c>
      <c r="BD367" s="32">
        <f t="shared" si="359"/>
        <v>-25.9380791023094</v>
      </c>
      <c r="BE367" s="31">
        <f t="shared" si="360"/>
        <v>113.580362967743</v>
      </c>
      <c r="BF367" s="30" t="str">
        <f t="shared" si="361"/>
        <v>0,0587463422094651-0,0071157976995749i</v>
      </c>
      <c r="BG367" s="68">
        <f t="shared" si="362"/>
        <v>-24.5571271711329</v>
      </c>
      <c r="BH367" s="31">
        <f t="shared" si="363"/>
        <v>-6.90644896446889</v>
      </c>
      <c r="BI367" s="30" t="str">
        <f t="shared" si="316"/>
        <v>0,0527872049377065+0,130851148420095i</v>
      </c>
      <c r="BJ367" s="68">
        <f t="shared" si="364"/>
        <v>-17.0096119770709</v>
      </c>
      <c r="BK367" s="31">
        <f t="shared" si="317"/>
        <v>68.0301544371489</v>
      </c>
      <c r="BL367" s="32">
        <f t="shared" si="365"/>
        <v>-24.5571271711329</v>
      </c>
      <c r="BM367" s="31">
        <f t="shared" si="366"/>
        <v>-6.90644896446889</v>
      </c>
      <c r="BO367">
        <f t="shared" si="367"/>
        <v>0</v>
      </c>
      <c r="BP367">
        <f t="shared" si="368"/>
        <v>0</v>
      </c>
    </row>
    <row r="368" spans="14:68">
      <c r="N368" s="7">
        <v>50</v>
      </c>
      <c r="O368" s="18">
        <f t="shared" si="318"/>
        <v>31622.7766016838</v>
      </c>
      <c r="P368" s="86" t="str">
        <f t="shared" si="319"/>
        <v>163,636363636364</v>
      </c>
      <c r="Q368" s="4" t="str">
        <f t="shared" si="320"/>
        <v>1+1213,82605720272i</v>
      </c>
      <c r="R368" s="4">
        <f t="shared" si="331"/>
        <v>1213.82646912329</v>
      </c>
      <c r="S368" s="4">
        <f t="shared" si="332"/>
        <v>1.56997248571171</v>
      </c>
      <c r="T368" s="4" t="str">
        <f t="shared" si="321"/>
        <v>1+3,11548688015366i</v>
      </c>
      <c r="U368" s="4">
        <f t="shared" si="333"/>
        <v>3.27204194661523</v>
      </c>
      <c r="V368" s="4">
        <f t="shared" si="334"/>
        <v>1.26020727857623</v>
      </c>
      <c r="W368" t="str">
        <f t="shared" si="322"/>
        <v>1-2,98037647973883i</v>
      </c>
      <c r="X368" s="4">
        <f t="shared" si="335"/>
        <v>3.1436672789881</v>
      </c>
      <c r="Y368" s="4">
        <f t="shared" si="336"/>
        <v>-1.24707180204679</v>
      </c>
      <c r="Z368" t="str">
        <f t="shared" si="323"/>
        <v>0,991836734693878+0,617363699374472i</v>
      </c>
      <c r="AA368" s="4">
        <f t="shared" si="337"/>
        <v>1.16827995172114</v>
      </c>
      <c r="AB368" s="4">
        <f t="shared" si="338"/>
        <v>0.556759816832164</v>
      </c>
      <c r="AC368" s="67" t="str">
        <f t="shared" si="339"/>
        <v>-0,613101405781705-1,01634268733598i</v>
      </c>
      <c r="AD368" s="68">
        <f t="shared" si="340"/>
        <v>1.48863459110898</v>
      </c>
      <c r="AE368" s="31">
        <f t="shared" si="341"/>
        <v>-121.100177722874</v>
      </c>
      <c r="AF368" s="32" t="str">
        <f t="shared" si="342"/>
        <v>748,315388573934</v>
      </c>
      <c r="AG368" s="32" t="str">
        <f t="shared" si="324"/>
        <v>1+989,043454017035i</v>
      </c>
      <c r="AH368" s="32">
        <f t="shared" si="343"/>
        <v>989.043959555867</v>
      </c>
      <c r="AI368" s="32">
        <f t="shared" si="344"/>
        <v>1.56978524921769</v>
      </c>
      <c r="AJ368" s="32" t="str">
        <f t="shared" si="325"/>
        <v>1+3,11548688015366i</v>
      </c>
      <c r="AK368" s="32">
        <f t="shared" si="345"/>
        <v>3.27204194661523</v>
      </c>
      <c r="AL368" s="32">
        <f t="shared" si="346"/>
        <v>1.26020727857623</v>
      </c>
      <c r="AM368" s="32" t="str">
        <f t="shared" si="326"/>
        <v>1-0,531026079561053i</v>
      </c>
      <c r="AN368" s="32">
        <f t="shared" si="347"/>
        <v>1.1322493970738</v>
      </c>
      <c r="AO368" s="32">
        <f t="shared" si="348"/>
        <v>-0.488159300788489</v>
      </c>
      <c r="AP368" s="30" t="str">
        <f t="shared" si="349"/>
        <v>1,95744498144565-2,00635724775238i</v>
      </c>
      <c r="AQ368" s="32">
        <f t="shared" si="350"/>
        <v>8.95260084049483</v>
      </c>
      <c r="AR368" s="31">
        <f t="shared" si="351"/>
        <v>-45.7069788132182</v>
      </c>
      <c r="AS368" t="str">
        <f t="shared" si="327"/>
        <v>-0,0000504684572142411</v>
      </c>
      <c r="AT368" t="str">
        <f t="shared" si="328"/>
        <v>0,0446460396664877i</v>
      </c>
      <c r="AU368">
        <f t="shared" si="352"/>
        <v>0.0446460396664877</v>
      </c>
      <c r="AV368">
        <f t="shared" si="353"/>
        <v>1.5707963267949</v>
      </c>
      <c r="AW368" t="str">
        <f t="shared" si="329"/>
        <v>1+2,28579534197445i</v>
      </c>
      <c r="AX368">
        <f t="shared" si="354"/>
        <v>2.49496700286639</v>
      </c>
      <c r="AY368">
        <f t="shared" si="355"/>
        <v>1.15839890696319</v>
      </c>
      <c r="AZ368" t="str">
        <f t="shared" si="330"/>
        <v>1+109,280470923757i</v>
      </c>
      <c r="BA368">
        <f t="shared" si="356"/>
        <v>109.285046210898</v>
      </c>
      <c r="BB368">
        <f t="shared" si="357"/>
        <v>1.56164581636263</v>
      </c>
      <c r="BC368" s="30" t="str">
        <f t="shared" si="358"/>
        <v>-0,0194298586802072+0,0455430933225684i</v>
      </c>
      <c r="BD368" s="32">
        <f t="shared" si="359"/>
        <v>-26.1053395584484</v>
      </c>
      <c r="BE368" s="31">
        <f t="shared" si="360"/>
        <v>113.104346010282</v>
      </c>
      <c r="BF368" s="30" t="str">
        <f t="shared" si="361"/>
        <v>0,0581998635280274-0,00817513975411397i</v>
      </c>
      <c r="BG368" s="68">
        <f t="shared" si="362"/>
        <v>-24.6167049673395</v>
      </c>
      <c r="BH368" s="31">
        <f t="shared" si="363"/>
        <v>-7.99583171259152</v>
      </c>
      <c r="BI368" s="30" t="str">
        <f t="shared" si="316"/>
        <v>0,0533428360090284+0,128131337249611i</v>
      </c>
      <c r="BJ368" s="68">
        <f t="shared" si="364"/>
        <v>-17.1527387179536</v>
      </c>
      <c r="BK368" s="31">
        <f t="shared" si="317"/>
        <v>67.3973671970643</v>
      </c>
      <c r="BL368" s="32">
        <f t="shared" si="365"/>
        <v>-24.6167049673395</v>
      </c>
      <c r="BM368" s="31">
        <f t="shared" si="366"/>
        <v>-7.99583171259152</v>
      </c>
      <c r="BO368">
        <f t="shared" si="367"/>
        <v>0</v>
      </c>
      <c r="BP368">
        <f t="shared" si="368"/>
        <v>0</v>
      </c>
    </row>
    <row r="369" spans="14:68">
      <c r="N369" s="7">
        <v>51</v>
      </c>
      <c r="O369" s="18">
        <f t="shared" si="318"/>
        <v>32359.3656929629</v>
      </c>
      <c r="P369" s="86" t="str">
        <f t="shared" si="319"/>
        <v>163,636363636364</v>
      </c>
      <c r="Q369" s="4" t="str">
        <f t="shared" si="320"/>
        <v>1+1242,09969818333i</v>
      </c>
      <c r="R369" s="4">
        <f t="shared" si="331"/>
        <v>1242.10010072744</v>
      </c>
      <c r="S369" s="4">
        <f t="shared" si="332"/>
        <v>1.56999123861606</v>
      </c>
      <c r="T369" s="4" t="str">
        <f t="shared" si="321"/>
        <v>1+3,18805589200388i</v>
      </c>
      <c r="U369" s="4">
        <f t="shared" si="333"/>
        <v>3.34121241026976</v>
      </c>
      <c r="V369" s="4">
        <f t="shared" si="334"/>
        <v>1.2668451899616</v>
      </c>
      <c r="W369" t="str">
        <f t="shared" si="322"/>
        <v>1-3,04979836607514i</v>
      </c>
      <c r="X369" s="4">
        <f t="shared" si="335"/>
        <v>3.20955917124371</v>
      </c>
      <c r="Y369" s="4">
        <f t="shared" si="336"/>
        <v>-1.25395226839946</v>
      </c>
      <c r="Z369" t="str">
        <f t="shared" si="323"/>
        <v>0,991452011852646+0,631743947258422i</v>
      </c>
      <c r="AA369" s="4">
        <f t="shared" si="337"/>
        <v>1.17561792547762</v>
      </c>
      <c r="AB369" s="4">
        <f t="shared" si="338"/>
        <v>0.567317632845724</v>
      </c>
      <c r="AC369" s="67" t="str">
        <f t="shared" si="339"/>
        <v>-0,631832528074801-1,02222303960362i</v>
      </c>
      <c r="AD369" s="68">
        <f t="shared" si="340"/>
        <v>1.59612992113183</v>
      </c>
      <c r="AE369" s="31">
        <f t="shared" si="341"/>
        <v>-121.720067859525</v>
      </c>
      <c r="AF369" s="32" t="str">
        <f t="shared" si="342"/>
        <v>748,315388573934</v>
      </c>
      <c r="AG369" s="32" t="str">
        <f t="shared" si="324"/>
        <v>1+1012,08123555679i</v>
      </c>
      <c r="AH369" s="32">
        <f t="shared" si="343"/>
        <v>1012.08172958816</v>
      </c>
      <c r="AI369" s="32">
        <f t="shared" si="344"/>
        <v>1.56980826413802</v>
      </c>
      <c r="AJ369" s="32" t="str">
        <f t="shared" si="325"/>
        <v>1+3,18805589200388i</v>
      </c>
      <c r="AK369" s="32">
        <f t="shared" si="345"/>
        <v>3.34121241026976</v>
      </c>
      <c r="AL369" s="32">
        <f t="shared" si="346"/>
        <v>1.2668451899616</v>
      </c>
      <c r="AM369" s="32" t="str">
        <f t="shared" si="326"/>
        <v>1-0,54339526593315i</v>
      </c>
      <c r="AN369" s="32">
        <f t="shared" si="347"/>
        <v>1.13810298964486</v>
      </c>
      <c r="AO369" s="32">
        <f t="shared" si="348"/>
        <v>-0.497758259869615</v>
      </c>
      <c r="AP369" s="30" t="str">
        <f t="shared" si="349"/>
        <v>1,9574106414647-2,01833646130255i</v>
      </c>
      <c r="AQ369" s="32">
        <f t="shared" si="350"/>
        <v>8.97909482752063</v>
      </c>
      <c r="AR369" s="31">
        <f t="shared" si="351"/>
        <v>-45.8779530069229</v>
      </c>
      <c r="AS369" t="str">
        <f t="shared" si="327"/>
        <v>-0,0000504684572142411</v>
      </c>
      <c r="AT369" t="str">
        <f t="shared" si="328"/>
        <v>0,0456859795238055i</v>
      </c>
      <c r="AU369">
        <f t="shared" si="352"/>
        <v>0.0456859795238055</v>
      </c>
      <c r="AV369">
        <f t="shared" si="353"/>
        <v>1.5707963267949</v>
      </c>
      <c r="AW369" t="str">
        <f t="shared" si="329"/>
        <v>1+2,33903835523045i</v>
      </c>
      <c r="AX369">
        <f t="shared" si="354"/>
        <v>2.54383577049289</v>
      </c>
      <c r="AY369">
        <f t="shared" si="355"/>
        <v>1.16678797746061</v>
      </c>
      <c r="AZ369" t="str">
        <f t="shared" si="330"/>
        <v>1+111,825940089422i</v>
      </c>
      <c r="BA369">
        <f t="shared" si="356"/>
        <v>111.830411234525</v>
      </c>
      <c r="BB369">
        <f t="shared" si="357"/>
        <v>1.56185409617683</v>
      </c>
      <c r="BC369" s="30" t="str">
        <f t="shared" si="358"/>
        <v>-0,018690508388014+0,0448224975163774i</v>
      </c>
      <c r="BD369" s="32">
        <f t="shared" si="359"/>
        <v>-26.2738411981493</v>
      </c>
      <c r="BE369" s="31">
        <f t="shared" si="360"/>
        <v>112.635621231054</v>
      </c>
      <c r="BF369" s="30" t="str">
        <f t="shared" si="361"/>
        <v>0,0576278608196192-0,00921444362426659i</v>
      </c>
      <c r="BG369" s="68">
        <f t="shared" si="362"/>
        <v>-24.6777112770174</v>
      </c>
      <c r="BH369" s="31">
        <f t="shared" si="363"/>
        <v>-9.08444662847176</v>
      </c>
      <c r="BI369" s="30" t="str">
        <f t="shared" si="316"/>
        <v>0,0538818810108637+0,125459768175392i</v>
      </c>
      <c r="BJ369" s="68">
        <f t="shared" si="364"/>
        <v>-17.2947463706286</v>
      </c>
      <c r="BK369" s="31">
        <f t="shared" si="317"/>
        <v>66.7576682241308</v>
      </c>
      <c r="BL369" s="32">
        <f t="shared" si="365"/>
        <v>-24.6777112770174</v>
      </c>
      <c r="BM369" s="31">
        <f t="shared" si="366"/>
        <v>-9.08444662847176</v>
      </c>
      <c r="BO369">
        <f t="shared" si="367"/>
        <v>0</v>
      </c>
      <c r="BP369">
        <f t="shared" si="368"/>
        <v>0</v>
      </c>
    </row>
    <row r="370" spans="14:68">
      <c r="N370" s="7">
        <v>52</v>
      </c>
      <c r="O370" s="18">
        <f t="shared" si="318"/>
        <v>33113.1121482591</v>
      </c>
      <c r="P370" s="86" t="str">
        <f t="shared" si="319"/>
        <v>163,636363636364</v>
      </c>
      <c r="Q370" s="4" t="str">
        <f t="shared" si="320"/>
        <v>1+1271,03191686503i</v>
      </c>
      <c r="R370" s="4">
        <f t="shared" si="331"/>
        <v>1271.03231024612</v>
      </c>
      <c r="S370" s="4">
        <f t="shared" si="332"/>
        <v>1.57000956465274</v>
      </c>
      <c r="T370" s="4" t="str">
        <f t="shared" si="321"/>
        <v>1+3,26231525328692i</v>
      </c>
      <c r="U370" s="4">
        <f t="shared" si="333"/>
        <v>3.41214020987246</v>
      </c>
      <c r="V370" s="4">
        <f t="shared" si="334"/>
        <v>1.27335882357151</v>
      </c>
      <c r="W370" t="str">
        <f t="shared" si="322"/>
        <v>1-3,12083729587397i</v>
      </c>
      <c r="X370" s="4">
        <f t="shared" si="335"/>
        <v>3.27713677275117</v>
      </c>
      <c r="Y370" s="4">
        <f t="shared" si="336"/>
        <v>-1.2607062482094</v>
      </c>
      <c r="Z370" t="str">
        <f t="shared" si="323"/>
        <v>0,991049157582505+0,646459154145322i</v>
      </c>
      <c r="AA370" s="4">
        <f t="shared" si="337"/>
        <v>1.18325308819512</v>
      </c>
      <c r="AB370" s="4">
        <f t="shared" si="338"/>
        <v>0.577988828102537</v>
      </c>
      <c r="AC370" s="67" t="str">
        <f t="shared" si="339"/>
        <v>-0,650952692711876-1,02786529867274i</v>
      </c>
      <c r="AD370" s="68">
        <f t="shared" si="340"/>
        <v>1.70334037117579</v>
      </c>
      <c r="AE370" s="31">
        <f t="shared" si="341"/>
        <v>-122.346303137541</v>
      </c>
      <c r="AF370" s="32" t="str">
        <f t="shared" si="342"/>
        <v>748,315388573934</v>
      </c>
      <c r="AG370" s="32" t="str">
        <f t="shared" si="324"/>
        <v>1+1035,6556359641i</v>
      </c>
      <c r="AH370" s="32">
        <f t="shared" si="343"/>
        <v>1035.65611874995</v>
      </c>
      <c r="AI370" s="32">
        <f t="shared" si="344"/>
        <v>1.56983075517582</v>
      </c>
      <c r="AJ370" s="32" t="str">
        <f t="shared" si="325"/>
        <v>1+3,26231525328692i</v>
      </c>
      <c r="AK370" s="32">
        <f t="shared" si="345"/>
        <v>3.41214020987246</v>
      </c>
      <c r="AL370" s="32">
        <f t="shared" si="346"/>
        <v>1.27335882357151</v>
      </c>
      <c r="AM370" s="32" t="str">
        <f t="shared" si="326"/>
        <v>1-0,556052567667926i</v>
      </c>
      <c r="AN370" s="32">
        <f t="shared" si="347"/>
        <v>1.14420035745935</v>
      </c>
      <c r="AO370" s="32">
        <f t="shared" si="348"/>
        <v>-0.507478216531</v>
      </c>
      <c r="AP370" s="30" t="str">
        <f t="shared" si="349"/>
        <v>1,95737784703457-2,03138582050533i</v>
      </c>
      <c r="AQ370" s="32">
        <f t="shared" si="350"/>
        <v>9.00796097345724</v>
      </c>
      <c r="AR370" s="31">
        <f t="shared" si="351"/>
        <v>-46.0629504270702</v>
      </c>
      <c r="AS370" t="str">
        <f t="shared" si="327"/>
        <v>-0,0000504684572142411</v>
      </c>
      <c r="AT370" t="str">
        <f t="shared" si="328"/>
        <v>0,0467501426921921i</v>
      </c>
      <c r="AU370">
        <f t="shared" si="352"/>
        <v>0.0467501426921921</v>
      </c>
      <c r="AV370">
        <f t="shared" si="353"/>
        <v>1.5707963267949</v>
      </c>
      <c r="AW370" t="str">
        <f t="shared" si="329"/>
        <v>1+2,39352155758321i</v>
      </c>
      <c r="AX370">
        <f t="shared" si="354"/>
        <v>2.59402109602361</v>
      </c>
      <c r="AY370">
        <f t="shared" si="355"/>
        <v>1.1750446485982</v>
      </c>
      <c r="AZ370" t="str">
        <f t="shared" si="330"/>
        <v>1+114,430700848712i</v>
      </c>
      <c r="BA370">
        <f t="shared" si="356"/>
        <v>114.435070222058</v>
      </c>
      <c r="BB370">
        <f t="shared" si="357"/>
        <v>1.56205763571334</v>
      </c>
      <c r="BC370" s="30" t="str">
        <f t="shared" si="358"/>
        <v>-0,0179743108001904+0,0441014362797029i</v>
      </c>
      <c r="BD370" s="32">
        <f t="shared" si="359"/>
        <v>-26.4435455031362</v>
      </c>
      <c r="BE370" s="31">
        <f t="shared" si="360"/>
        <v>112.174210778448</v>
      </c>
      <c r="BF370" s="30" t="str">
        <f t="shared" si="361"/>
        <v>0,0570307619885577-0,0102327783596595i</v>
      </c>
      <c r="BG370" s="68">
        <f t="shared" si="362"/>
        <v>-24.7402051319604</v>
      </c>
      <c r="BH370" s="31">
        <f t="shared" si="363"/>
        <v>-10.172092359093</v>
      </c>
      <c r="BI370" s="30" t="str">
        <f t="shared" ref="BI370:BI433" si="369">IMPRODUCT(AP370,BC370)</f>
        <v>0,0544045145465009+0,12283593448916i</v>
      </c>
      <c r="BJ370" s="68">
        <f t="shared" si="364"/>
        <v>-17.435584529679</v>
      </c>
      <c r="BK370" s="31">
        <f t="shared" ref="BK370:BK433" si="370">(180/PI())*IMARGUMENT(BI370)</f>
        <v>66.1112603513781</v>
      </c>
      <c r="BL370" s="32">
        <f t="shared" si="365"/>
        <v>-24.7402051319604</v>
      </c>
      <c r="BM370" s="31">
        <f t="shared" si="366"/>
        <v>-10.172092359093</v>
      </c>
      <c r="BO370">
        <f t="shared" si="367"/>
        <v>0</v>
      </c>
      <c r="BP370">
        <f t="shared" si="368"/>
        <v>0</v>
      </c>
    </row>
    <row r="371" spans="14:68">
      <c r="N371" s="7">
        <v>53</v>
      </c>
      <c r="O371" s="18">
        <f t="shared" si="318"/>
        <v>33884.4156139203</v>
      </c>
      <c r="P371" s="86" t="str">
        <f t="shared" si="319"/>
        <v>163,636363636364</v>
      </c>
      <c r="Q371" s="4" t="str">
        <f t="shared" si="320"/>
        <v>1+1300,63805349317i</v>
      </c>
      <c r="R371" s="4">
        <f t="shared" si="331"/>
        <v>1300.63843791982</v>
      </c>
      <c r="S371" s="4">
        <f t="shared" si="332"/>
        <v>1.5700274735384</v>
      </c>
      <c r="T371" s="4" t="str">
        <f t="shared" si="321"/>
        <v>1+3,33830433729914i</v>
      </c>
      <c r="U371" s="4">
        <f t="shared" si="333"/>
        <v>3.48486382064353</v>
      </c>
      <c r="V371" s="4">
        <f t="shared" si="334"/>
        <v>1.27974942136642</v>
      </c>
      <c r="W371" t="str">
        <f t="shared" si="322"/>
        <v>1-3,19353093491627i</v>
      </c>
      <c r="X371" s="4">
        <f t="shared" si="335"/>
        <v>3.3464368860427</v>
      </c>
      <c r="Y371" s="4">
        <f t="shared" si="336"/>
        <v>-1.26733485694317</v>
      </c>
      <c r="Z371" t="str">
        <f t="shared" si="323"/>
        <v>0,990627317375536+0,661517122232655i</v>
      </c>
      <c r="AA371" s="4">
        <f t="shared" si="337"/>
        <v>1.19119577943243</v>
      </c>
      <c r="AB371" s="4">
        <f t="shared" si="338"/>
        <v>0.588770192750365</v>
      </c>
      <c r="AC371" s="67" t="str">
        <f t="shared" si="339"/>
        <v>-0,67045326129195-1,03324849537797i</v>
      </c>
      <c r="AD371" s="68">
        <f t="shared" si="340"/>
        <v>1.81017079243041</v>
      </c>
      <c r="AE371" s="31">
        <f t="shared" si="341"/>
        <v>-122.978692955092</v>
      </c>
      <c r="AF371" s="32" t="str">
        <f t="shared" si="342"/>
        <v>748,315388573934</v>
      </c>
      <c r="AG371" s="32" t="str">
        <f t="shared" si="324"/>
        <v>1+1059,77915469814i</v>
      </c>
      <c r="AH371" s="32">
        <f t="shared" si="343"/>
        <v>1059.77962649444</v>
      </c>
      <c r="AI371" s="32">
        <f t="shared" si="344"/>
        <v>1.56985273425604</v>
      </c>
      <c r="AJ371" s="32" t="str">
        <f t="shared" si="325"/>
        <v>1+3,33830433729914i</v>
      </c>
      <c r="AK371" s="32">
        <f t="shared" si="345"/>
        <v>3.48486382064353</v>
      </c>
      <c r="AL371" s="32">
        <f t="shared" si="346"/>
        <v>1.27974942136642</v>
      </c>
      <c r="AM371" s="32" t="str">
        <f t="shared" si="326"/>
        <v>1-0,569004695834311i</v>
      </c>
      <c r="AN371" s="32">
        <f t="shared" si="347"/>
        <v>1.15055045255803</v>
      </c>
      <c r="AO371" s="32">
        <f t="shared" si="348"/>
        <v>-0.51731697713139</v>
      </c>
      <c r="AP371" s="30" t="str">
        <f t="shared" si="349"/>
        <v>1,95734652859422-2,04551224450761i</v>
      </c>
      <c r="AQ371" s="32">
        <f t="shared" si="350"/>
        <v>9.03921178542505</v>
      </c>
      <c r="AR371" s="31">
        <f t="shared" si="351"/>
        <v>-46.2617749114324</v>
      </c>
      <c r="AS371" t="str">
        <f t="shared" si="327"/>
        <v>-0,0000504684572142411</v>
      </c>
      <c r="AT371" t="str">
        <f t="shared" si="328"/>
        <v>0,0478390934050456i</v>
      </c>
      <c r="AU371">
        <f t="shared" si="352"/>
        <v>0.0478390934050456</v>
      </c>
      <c r="AV371">
        <f t="shared" si="353"/>
        <v>1.5707963267949</v>
      </c>
      <c r="AW371" t="str">
        <f t="shared" si="329"/>
        <v>1+2,44927383674783i</v>
      </c>
      <c r="AX371">
        <f t="shared" si="354"/>
        <v>2.645551422176</v>
      </c>
      <c r="AY371">
        <f t="shared" si="355"/>
        <v>1.18316879408993</v>
      </c>
      <c r="AZ371" t="str">
        <f t="shared" si="330"/>
        <v>1+117,096134280263i</v>
      </c>
      <c r="BA371">
        <f t="shared" si="356"/>
        <v>117.100404198198</v>
      </c>
      <c r="BB371">
        <f t="shared" si="357"/>
        <v>1.56225654282402</v>
      </c>
      <c r="BC371" s="30" t="str">
        <f t="shared" si="358"/>
        <v>-0,0172809191957315+0,043380665920717i</v>
      </c>
      <c r="BD371" s="32">
        <f t="shared" si="359"/>
        <v>-26.6144145042384</v>
      </c>
      <c r="BE371" s="31">
        <f t="shared" si="360"/>
        <v>111.720128067579</v>
      </c>
      <c r="BF371" s="30" t="str">
        <f t="shared" si="361"/>
        <v>0,0564090564239761-0,0112292251858234i</v>
      </c>
      <c r="BG371" s="68">
        <f t="shared" si="362"/>
        <v>-24.8042437118079</v>
      </c>
      <c r="BH371" s="31">
        <f t="shared" si="363"/>
        <v>-11.2585648875127</v>
      </c>
      <c r="BI371" s="30" t="str">
        <f t="shared" si="369"/>
        <v>0,0549109361170384+0,120259327659236i</v>
      </c>
      <c r="BJ371" s="68">
        <f t="shared" si="364"/>
        <v>-17.5752027188133</v>
      </c>
      <c r="BK371" s="31">
        <f t="shared" si="370"/>
        <v>65.4583531561467</v>
      </c>
      <c r="BL371" s="32">
        <f t="shared" si="365"/>
        <v>-24.8042437118079</v>
      </c>
      <c r="BM371" s="31">
        <f t="shared" si="366"/>
        <v>-11.2585648875127</v>
      </c>
      <c r="BO371">
        <f t="shared" si="367"/>
        <v>0</v>
      </c>
      <c r="BP371">
        <f t="shared" si="368"/>
        <v>0</v>
      </c>
    </row>
    <row r="372" spans="14:68">
      <c r="N372" s="7">
        <v>54</v>
      </c>
      <c r="O372" s="18">
        <f t="shared" si="318"/>
        <v>34673.6850452532</v>
      </c>
      <c r="P372" s="86" t="str">
        <f t="shared" si="319"/>
        <v>163,636363636364</v>
      </c>
      <c r="Q372" s="4" t="str">
        <f t="shared" si="320"/>
        <v>1+1330,93380563324i</v>
      </c>
      <c r="R372" s="4">
        <f t="shared" si="331"/>
        <v>1330.93418130927</v>
      </c>
      <c r="S372" s="4">
        <f t="shared" si="332"/>
        <v>1.57004497476853</v>
      </c>
      <c r="T372" s="4" t="str">
        <f t="shared" si="321"/>
        <v>1+3,41606343445864i</v>
      </c>
      <c r="U372" s="4">
        <f t="shared" si="333"/>
        <v>3.5594226200671</v>
      </c>
      <c r="V372" s="4">
        <f t="shared" si="334"/>
        <v>1.28601828303018</v>
      </c>
      <c r="W372" t="str">
        <f t="shared" si="322"/>
        <v>1-3,26791782633161i</v>
      </c>
      <c r="X372" s="4">
        <f t="shared" si="335"/>
        <v>3.41749717185778</v>
      </c>
      <c r="Y372" s="4">
        <f t="shared" si="336"/>
        <v>-1.27383927834394</v>
      </c>
      <c r="Z372" t="str">
        <f t="shared" si="323"/>
        <v>0,990185596452103+0,676925835454404i</v>
      </c>
      <c r="AA372" s="4">
        <f t="shared" si="337"/>
        <v>1.19945658617844</v>
      </c>
      <c r="AB372" s="4">
        <f t="shared" si="338"/>
        <v>0.599658308887088</v>
      </c>
      <c r="AC372" s="67" t="str">
        <f t="shared" si="339"/>
        <v>-0,690324421846284-1,03835186223376i</v>
      </c>
      <c r="AD372" s="68">
        <f t="shared" si="340"/>
        <v>1.91652855018031</v>
      </c>
      <c r="AE372" s="31">
        <f t="shared" si="341"/>
        <v>-123.617035381952</v>
      </c>
      <c r="AF372" s="32" t="str">
        <f t="shared" si="342"/>
        <v>748,315388573934</v>
      </c>
      <c r="AG372" s="32" t="str">
        <f t="shared" si="324"/>
        <v>1+1084,46458236782i</v>
      </c>
      <c r="AH372" s="32">
        <f t="shared" si="343"/>
        <v>1084.46504342473</v>
      </c>
      <c r="AI372" s="32">
        <f t="shared" si="344"/>
        <v>1.56987421303219</v>
      </c>
      <c r="AJ372" s="32" t="str">
        <f t="shared" si="325"/>
        <v>1+3,41606343445864i</v>
      </c>
      <c r="AK372" s="32">
        <f t="shared" si="345"/>
        <v>3.5594226200671</v>
      </c>
      <c r="AL372" s="32">
        <f t="shared" si="346"/>
        <v>1.28601828303018</v>
      </c>
      <c r="AM372" s="32" t="str">
        <f t="shared" si="326"/>
        <v>1-0,58225851782209i</v>
      </c>
      <c r="AN372" s="32">
        <f t="shared" si="347"/>
        <v>1.15716246982711</v>
      </c>
      <c r="AO372" s="32">
        <f t="shared" si="348"/>
        <v>-0.527272138392306</v>
      </c>
      <c r="AP372" s="30" t="str">
        <f t="shared" si="349"/>
        <v>1,95731661971343-2,06072322351666i</v>
      </c>
      <c r="AQ372" s="32">
        <f t="shared" si="350"/>
        <v>9.07286029047913</v>
      </c>
      <c r="AR372" s="31">
        <f t="shared" si="351"/>
        <v>-46.4742149635932</v>
      </c>
      <c r="AS372" t="str">
        <f t="shared" si="327"/>
        <v>-0,0000504684572142411</v>
      </c>
      <c r="AT372" t="str">
        <f t="shared" si="328"/>
        <v>0,0489534090384475i</v>
      </c>
      <c r="AU372">
        <f t="shared" si="352"/>
        <v>0.0489534090384475</v>
      </c>
      <c r="AV372">
        <f t="shared" si="353"/>
        <v>1.5707963267949</v>
      </c>
      <c r="AW372" t="str">
        <f t="shared" si="329"/>
        <v>1+2,50632475332064i</v>
      </c>
      <c r="AX372">
        <f t="shared" si="354"/>
        <v>2.69845581196131</v>
      </c>
      <c r="AY372">
        <f t="shared" si="355"/>
        <v>1.19116043075536</v>
      </c>
      <c r="AZ372" t="str">
        <f t="shared" si="330"/>
        <v>1+119,823653632159i</v>
      </c>
      <c r="BA372">
        <f t="shared" si="356"/>
        <v>119.82782635832</v>
      </c>
      <c r="BB372">
        <f t="shared" si="357"/>
        <v>1.56245092290906</v>
      </c>
      <c r="BC372" s="30" t="str">
        <f t="shared" si="358"/>
        <v>-0,0166099617683686+0,0426609071095085i</v>
      </c>
      <c r="BD372" s="32">
        <f t="shared" si="359"/>
        <v>-26.7864108252538</v>
      </c>
      <c r="BE372" s="31">
        <f t="shared" si="360"/>
        <v>111.273378173742</v>
      </c>
      <c r="BF372" s="30" t="str">
        <f t="shared" si="361"/>
        <v>0,0557632945963775-0,0122028813019924i</v>
      </c>
      <c r="BG372" s="68">
        <f t="shared" si="362"/>
        <v>-24.8698822750735</v>
      </c>
      <c r="BH372" s="31">
        <f t="shared" si="363"/>
        <v>-12.3436572082093</v>
      </c>
      <c r="BI372" s="30" t="str">
        <f t="shared" si="369"/>
        <v>0,0554013677948186+0,117729436455293i</v>
      </c>
      <c r="BJ372" s="68">
        <f t="shared" si="364"/>
        <v>-17.7135505347747</v>
      </c>
      <c r="BK372" s="31">
        <f t="shared" si="370"/>
        <v>64.7991632101492</v>
      </c>
      <c r="BL372" s="32">
        <f t="shared" si="365"/>
        <v>-24.8698822750735</v>
      </c>
      <c r="BM372" s="31">
        <f t="shared" si="366"/>
        <v>-12.3436572082093</v>
      </c>
      <c r="BO372">
        <f t="shared" si="367"/>
        <v>0</v>
      </c>
      <c r="BP372">
        <f t="shared" si="368"/>
        <v>0</v>
      </c>
    </row>
    <row r="373" spans="14:68">
      <c r="N373" s="7">
        <v>55</v>
      </c>
      <c r="O373" s="18">
        <f t="shared" si="318"/>
        <v>35481.3389233576</v>
      </c>
      <c r="P373" s="86" t="str">
        <f t="shared" si="319"/>
        <v>163,636363636364</v>
      </c>
      <c r="Q373" s="4" t="str">
        <f t="shared" si="320"/>
        <v>1+1361,93523649405i</v>
      </c>
      <c r="R373" s="4">
        <f t="shared" si="331"/>
        <v>1361.93560361865</v>
      </c>
      <c r="S373" s="4">
        <f t="shared" si="332"/>
        <v>1.57006207762247</v>
      </c>
      <c r="T373" s="4" t="str">
        <f t="shared" si="321"/>
        <v>1+3,49563377366807i</v>
      </c>
      <c r="U373" s="4">
        <f t="shared" si="333"/>
        <v>3.63585691132213</v>
      </c>
      <c r="V373" s="4">
        <f t="shared" si="334"/>
        <v>1.29216676079026</v>
      </c>
      <c r="W373" t="str">
        <f t="shared" si="322"/>
        <v>1-3,3440374110345i</v>
      </c>
      <c r="X373" s="4">
        <f t="shared" si="335"/>
        <v>3.49035617185386</v>
      </c>
      <c r="Y373" s="4">
        <f t="shared" si="336"/>
        <v>-1.28022075885696</v>
      </c>
      <c r="Z373" t="str">
        <f t="shared" si="323"/>
        <v>0,989723057862905+0,69269346371429i</v>
      </c>
      <c r="AA373" s="4">
        <f t="shared" si="337"/>
        <v>1.20804634262846</v>
      </c>
      <c r="AB373" s="4">
        <f t="shared" si="338"/>
        <v>0.610649553063176</v>
      </c>
      <c r="AC373" s="67" t="str">
        <f t="shared" si="339"/>
        <v>-0,710555181231999-1,04315491608086i</v>
      </c>
      <c r="AD373" s="68">
        <f t="shared" si="340"/>
        <v>2.02232363330548</v>
      </c>
      <c r="AE373" s="31">
        <f t="shared" si="341"/>
        <v>-124.261117280546</v>
      </c>
      <c r="AF373" s="32" t="str">
        <f t="shared" si="342"/>
        <v>748,315388573934</v>
      </c>
      <c r="AG373" s="32" t="str">
        <f t="shared" si="324"/>
        <v>1+1109,72500751367i</v>
      </c>
      <c r="AH373" s="32">
        <f t="shared" si="343"/>
        <v>1109.72545807565</v>
      </c>
      <c r="AI373" s="32">
        <f t="shared" si="344"/>
        <v>1.56989520289253</v>
      </c>
      <c r="AJ373" s="32" t="str">
        <f t="shared" si="325"/>
        <v>1+3,49563377366807i</v>
      </c>
      <c r="AK373" s="32">
        <f t="shared" si="345"/>
        <v>3.63585691132213</v>
      </c>
      <c r="AL373" s="32">
        <f t="shared" si="346"/>
        <v>1.29216676079026</v>
      </c>
      <c r="AM373" s="32" t="str">
        <f t="shared" si="326"/>
        <v>1-0,595821060983126i</v>
      </c>
      <c r="AN373" s="32">
        <f t="shared" si="347"/>
        <v>1.16404584819974</v>
      </c>
      <c r="AO373" s="32">
        <f t="shared" si="348"/>
        <v>-0.537341085181279</v>
      </c>
      <c r="AP373" s="30" t="str">
        <f t="shared" si="349"/>
        <v>1,95728805695179-2,07702682277253i</v>
      </c>
      <c r="AQ373" s="32">
        <f t="shared" si="350"/>
        <v>9.10891992978674</v>
      </c>
      <c r="AR373" s="31">
        <f t="shared" si="351"/>
        <v>-46.7000439230705</v>
      </c>
      <c r="AS373" t="str">
        <f t="shared" si="327"/>
        <v>-0,0000504684572142411</v>
      </c>
      <c r="AT373" t="str">
        <f t="shared" si="328"/>
        <v>0,0500936804172967i</v>
      </c>
      <c r="AU373">
        <f t="shared" si="352"/>
        <v>0.0500936804172967</v>
      </c>
      <c r="AV373">
        <f t="shared" si="353"/>
        <v>1.5707963267949</v>
      </c>
      <c r="AW373" t="str">
        <f t="shared" si="329"/>
        <v>1+2,56470455645281i</v>
      </c>
      <c r="AX373">
        <f t="shared" si="354"/>
        <v>2.75276396770406</v>
      </c>
      <c r="AY373">
        <f t="shared" si="355"/>
        <v>1.19901971165754</v>
      </c>
      <c r="AZ373" t="str">
        <f t="shared" si="330"/>
        <v>1+122,614705071265i</v>
      </c>
      <c r="BA373">
        <f t="shared" si="356"/>
        <v>122.618782817778</v>
      </c>
      <c r="BB373">
        <f t="shared" si="357"/>
        <v>1.56264087897257</v>
      </c>
      <c r="BC373" s="30" t="str">
        <f t="shared" si="358"/>
        <v>-0,0159610443529503+0,0419428446962604i</v>
      </c>
      <c r="BD373" s="32">
        <f t="shared" si="359"/>
        <v>-26.9594977222318</v>
      </c>
      <c r="BE373" s="31">
        <f t="shared" si="360"/>
        <v>110.833958228772</v>
      </c>
      <c r="BF373" s="30" t="str">
        <f t="shared" si="361"/>
        <v>0,0550940874021826-0,0131528637319721i</v>
      </c>
      <c r="BG373" s="68">
        <f t="shared" si="362"/>
        <v>-24.9371740889264</v>
      </c>
      <c r="BH373" s="31">
        <f t="shared" si="363"/>
        <v>-13.4271590517745</v>
      </c>
      <c r="BI373" s="30" t="str">
        <f t="shared" si="369"/>
        <v>0,055876051969008+0,115245746239114i</v>
      </c>
      <c r="BJ373" s="68">
        <f t="shared" si="364"/>
        <v>-17.8505777924451</v>
      </c>
      <c r="BK373" s="31">
        <f t="shared" si="370"/>
        <v>64.1339143057012</v>
      </c>
      <c r="BL373" s="32">
        <f t="shared" si="365"/>
        <v>-24.9371740889264</v>
      </c>
      <c r="BM373" s="31">
        <f t="shared" si="366"/>
        <v>-13.4271590517745</v>
      </c>
      <c r="BO373">
        <f t="shared" si="367"/>
        <v>0</v>
      </c>
      <c r="BP373">
        <f t="shared" si="368"/>
        <v>0</v>
      </c>
    </row>
    <row r="374" spans="14:68">
      <c r="N374" s="7">
        <v>56</v>
      </c>
      <c r="O374" s="18">
        <f t="shared" si="318"/>
        <v>36307.8054770102</v>
      </c>
      <c r="P374" s="86" t="str">
        <f t="shared" si="319"/>
        <v>163,636363636364</v>
      </c>
      <c r="Q374" s="4" t="str">
        <f t="shared" si="320"/>
        <v>1+1393,65878344459i</v>
      </c>
      <c r="R374" s="4">
        <f t="shared" si="331"/>
        <v>1393.65914221242</v>
      </c>
      <c r="S374" s="4">
        <f t="shared" si="332"/>
        <v>1.57007879116834</v>
      </c>
      <c r="T374" s="4" t="str">
        <f t="shared" si="321"/>
        <v>1+3,57705754417445i</v>
      </c>
      <c r="U374" s="4">
        <f t="shared" si="333"/>
        <v>3.71420794710465</v>
      </c>
      <c r="V374" s="4">
        <f t="shared" si="334"/>
        <v>1.29819625444887</v>
      </c>
      <c r="W374" t="str">
        <f t="shared" si="322"/>
        <v>1-3,42193004863628i</v>
      </c>
      <c r="X374" s="4">
        <f t="shared" si="335"/>
        <v>3.56505333168522</v>
      </c>
      <c r="Y374" s="4">
        <f t="shared" si="336"/>
        <v>-1.28648060225766</v>
      </c>
      <c r="Z374" t="str">
        <f t="shared" si="323"/>
        <v>0,98923872050158+0,708828367217514i</v>
      </c>
      <c r="AA374" s="4">
        <f t="shared" si="337"/>
        <v>1.21697612972147</v>
      </c>
      <c r="AB374" s="4">
        <f t="shared" si="338"/>
        <v>0.621740099735924</v>
      </c>
      <c r="AC374" s="67" t="str">
        <f t="shared" si="339"/>
        <v>-0,731133364358525-1,04763754301891i</v>
      </c>
      <c r="AD374" s="68">
        <f t="shared" si="340"/>
        <v>2.12746876017545</v>
      </c>
      <c r="AE374" s="31">
        <f t="shared" si="341"/>
        <v>-124.91071448106</v>
      </c>
      <c r="AF374" s="32" t="str">
        <f t="shared" si="342"/>
        <v>748,315388573934</v>
      </c>
      <c r="AG374" s="32" t="str">
        <f t="shared" si="324"/>
        <v>1+1135,57382354745i</v>
      </c>
      <c r="AH374" s="32">
        <f t="shared" si="343"/>
        <v>1135.57426385339</v>
      </c>
      <c r="AI374" s="32">
        <f t="shared" si="344"/>
        <v>1.56991571496608</v>
      </c>
      <c r="AJ374" s="32" t="str">
        <f t="shared" si="325"/>
        <v>1+3,57705754417445i</v>
      </c>
      <c r="AK374" s="32">
        <f t="shared" si="345"/>
        <v>3.71420794710465</v>
      </c>
      <c r="AL374" s="32">
        <f t="shared" si="346"/>
        <v>1.29819625444887</v>
      </c>
      <c r="AM374" s="32" t="str">
        <f t="shared" si="326"/>
        <v>1-0,609699516357316i</v>
      </c>
      <c r="AN374" s="32">
        <f t="shared" si="347"/>
        <v>1.17121027157652</v>
      </c>
      <c r="AO374" s="32">
        <f t="shared" si="348"/>
        <v>-0.547520989020898</v>
      </c>
      <c r="AP374" s="30" t="str">
        <f t="shared" si="349"/>
        <v>1,95726077972412-2,09443168682503i</v>
      </c>
      <c r="AQ374" s="32">
        <f t="shared" si="350"/>
        <v>9.14740444757809</v>
      </c>
      <c r="AR374" s="31">
        <f t="shared" si="351"/>
        <v>-46.9390201649343</v>
      </c>
      <c r="AS374" t="str">
        <f t="shared" si="327"/>
        <v>-0,0000504684572142411</v>
      </c>
      <c r="AT374" t="str">
        <f t="shared" si="328"/>
        <v>0,0512605121285714i</v>
      </c>
      <c r="AU374">
        <f t="shared" si="352"/>
        <v>0.0512605121285714</v>
      </c>
      <c r="AV374">
        <f t="shared" si="353"/>
        <v>1.5707963267949</v>
      </c>
      <c r="AW374" t="str">
        <f t="shared" si="329"/>
        <v>1+2,62444419988867i</v>
      </c>
      <c r="AX374">
        <f t="shared" si="354"/>
        <v>2.80850625036322</v>
      </c>
      <c r="AY374">
        <f t="shared" si="355"/>
        <v>1.20674691922507</v>
      </c>
      <c r="AZ374" t="str">
        <f t="shared" si="330"/>
        <v>1+125,470768449997i</v>
      </c>
      <c r="BA374">
        <f t="shared" si="356"/>
        <v>125.474753378649</v>
      </c>
      <c r="BB374">
        <f t="shared" si="357"/>
        <v>1.5628265116769</v>
      </c>
      <c r="BC374" s="30" t="str">
        <f t="shared" si="358"/>
        <v>-0,0153337530565552+0,041227127711108i</v>
      </c>
      <c r="BD374" s="32">
        <f t="shared" si="359"/>
        <v>-27.1336391183195</v>
      </c>
      <c r="BE374" s="31">
        <f t="shared" si="360"/>
        <v>110.401857818228</v>
      </c>
      <c r="BF374" s="30" t="str">
        <f t="shared" si="361"/>
        <v>0,054402105241474-0,0140783132088328i</v>
      </c>
      <c r="BG374" s="68">
        <f t="shared" si="362"/>
        <v>-25.006170358144</v>
      </c>
      <c r="BH374" s="31">
        <f t="shared" si="363"/>
        <v>-14.5088566628321</v>
      </c>
      <c r="BI374" s="30" t="str">
        <f t="shared" si="369"/>
        <v>0,0563352491713565+0,112807738409228i</v>
      </c>
      <c r="BJ374" s="68">
        <f t="shared" si="364"/>
        <v>-17.9862346707414</v>
      </c>
      <c r="BK374" s="31">
        <f t="shared" si="370"/>
        <v>63.462837653294</v>
      </c>
      <c r="BL374" s="32">
        <f t="shared" si="365"/>
        <v>-25.006170358144</v>
      </c>
      <c r="BM374" s="31">
        <f t="shared" si="366"/>
        <v>-14.5088566628321</v>
      </c>
      <c r="BO374">
        <f t="shared" si="367"/>
        <v>0</v>
      </c>
      <c r="BP374">
        <f t="shared" si="368"/>
        <v>0</v>
      </c>
    </row>
    <row r="375" spans="14:68">
      <c r="N375" s="7">
        <v>57</v>
      </c>
      <c r="O375" s="18">
        <f t="shared" si="318"/>
        <v>37153.5229097174</v>
      </c>
      <c r="P375" s="86" t="str">
        <f t="shared" si="319"/>
        <v>163,636363636364</v>
      </c>
      <c r="Q375" s="4" t="str">
        <f t="shared" si="320"/>
        <v>1+1426,12126672938i</v>
      </c>
      <c r="R375" s="4">
        <f t="shared" si="331"/>
        <v>1426.12161733066</v>
      </c>
      <c r="S375" s="4">
        <f t="shared" si="332"/>
        <v>1.57009512426785</v>
      </c>
      <c r="T375" s="4" t="str">
        <f t="shared" si="321"/>
        <v>1+3,66037791793874i</v>
      </c>
      <c r="U375" s="4">
        <f t="shared" si="333"/>
        <v>3.79451795385574</v>
      </c>
      <c r="V375" s="4">
        <f t="shared" si="334"/>
        <v>1.30410820662691</v>
      </c>
      <c r="W375" t="str">
        <f t="shared" si="322"/>
        <v>1-3,50163703884446i</v>
      </c>
      <c r="X375" s="4">
        <f t="shared" si="335"/>
        <v>3.64162902446246</v>
      </c>
      <c r="Y375" s="4">
        <f t="shared" si="336"/>
        <v>-1.29262016448752</v>
      </c>
      <c r="Z375" t="str">
        <f t="shared" si="323"/>
        <v>0,98873155702365+0,725339100903494i</v>
      </c>
      <c r="AA375" s="4">
        <f t="shared" si="337"/>
        <v>1.22625727445504</v>
      </c>
      <c r="AB375" s="4">
        <f t="shared" si="338"/>
        <v>0.632925925697649</v>
      </c>
      <c r="AC375" s="67" t="str">
        <f t="shared" si="339"/>
        <v>-0,752045620615307-1,05178008500396i</v>
      </c>
      <c r="AD375" s="68">
        <f t="shared" si="340"/>
        <v>2.23187948061685</v>
      </c>
      <c r="AE375" s="31">
        <f t="shared" si="341"/>
        <v>-125.565592012047</v>
      </c>
      <c r="AF375" s="32" t="str">
        <f t="shared" si="342"/>
        <v>748,315388573934</v>
      </c>
      <c r="AG375" s="32" t="str">
        <f t="shared" si="324"/>
        <v>1+1162,02473585357i</v>
      </c>
      <c r="AH375" s="32">
        <f t="shared" si="343"/>
        <v>1162.02516613693</v>
      </c>
      <c r="AI375" s="32">
        <f t="shared" si="344"/>
        <v>1.56993576012855</v>
      </c>
      <c r="AJ375" s="32" t="str">
        <f t="shared" si="325"/>
        <v>1+3,66037791793874i</v>
      </c>
      <c r="AK375" s="32">
        <f t="shared" si="345"/>
        <v>3.79451795385574</v>
      </c>
      <c r="AL375" s="32">
        <f t="shared" si="346"/>
        <v>1.30410820662691</v>
      </c>
      <c r="AM375" s="32" t="str">
        <f t="shared" si="326"/>
        <v>1-0,623901242485409i</v>
      </c>
      <c r="AN375" s="32">
        <f t="shared" si="347"/>
        <v>1.17866566946477</v>
      </c>
      <c r="AO375" s="32">
        <f t="shared" si="348"/>
        <v>-0.55780880737335</v>
      </c>
      <c r="AP375" s="30" t="str">
        <f t="shared" si="349"/>
        <v>1,9572347301721-2,11294704411821i</v>
      </c>
      <c r="AQ375" s="32">
        <f t="shared" si="350"/>
        <v>9.18832777546922</v>
      </c>
      <c r="AR375" s="31">
        <f t="shared" si="351"/>
        <v>-47.1908873316514</v>
      </c>
      <c r="AS375" t="str">
        <f t="shared" si="327"/>
        <v>-0,0000504684572142411</v>
      </c>
      <c r="AT375" t="str">
        <f t="shared" si="328"/>
        <v>0,0524545228418898i</v>
      </c>
      <c r="AU375">
        <f t="shared" si="352"/>
        <v>0.0524545228418898</v>
      </c>
      <c r="AV375">
        <f t="shared" si="353"/>
        <v>1.5707963267949</v>
      </c>
      <c r="AW375" t="str">
        <f t="shared" si="329"/>
        <v>1+2,68557535837796i</v>
      </c>
      <c r="AX375">
        <f t="shared" si="354"/>
        <v>2.8657136991554</v>
      </c>
      <c r="AY375">
        <f t="shared" si="355"/>
        <v>1.21434245839153</v>
      </c>
      <c r="AZ375" t="str">
        <f t="shared" si="330"/>
        <v>1+128,393358090963i</v>
      </c>
      <c r="BA375">
        <f t="shared" si="356"/>
        <v>128.397252314348</v>
      </c>
      <c r="BB375">
        <f t="shared" si="357"/>
        <v>1.56300791939577</v>
      </c>
      <c r="BC375" s="30" t="str">
        <f t="shared" si="358"/>
        <v>-0,0147276567854004+0,0405143695302438i</v>
      </c>
      <c r="BD375" s="32">
        <f t="shared" si="359"/>
        <v>-27.3087996343413</v>
      </c>
      <c r="BE375" s="31">
        <f t="shared" si="360"/>
        <v>109.977059377526</v>
      </c>
      <c r="BF375" s="30" t="str">
        <f t="shared" si="361"/>
        <v>0,0536880768157874-0,0149783980715525i</v>
      </c>
      <c r="BG375" s="68">
        <f t="shared" si="362"/>
        <v>-25.0769201537245</v>
      </c>
      <c r="BH375" s="31">
        <f t="shared" si="363"/>
        <v>-15.5885326345215</v>
      </c>
      <c r="BI375" s="30" t="str">
        <f t="shared" si="369"/>
        <v>0,0567792359888011+0,110414889987119i</v>
      </c>
      <c r="BJ375" s="68">
        <f t="shared" si="364"/>
        <v>-18.1204718588721</v>
      </c>
      <c r="BK375" s="31">
        <f t="shared" si="370"/>
        <v>62.7861720458745</v>
      </c>
      <c r="BL375" s="32">
        <f t="shared" si="365"/>
        <v>-25.0769201537245</v>
      </c>
      <c r="BM375" s="31">
        <f t="shared" si="366"/>
        <v>-15.5885326345215</v>
      </c>
      <c r="BO375">
        <f t="shared" si="367"/>
        <v>0</v>
      </c>
      <c r="BP375">
        <f t="shared" si="368"/>
        <v>0</v>
      </c>
    </row>
    <row r="376" spans="14:68">
      <c r="N376" s="7">
        <v>58</v>
      </c>
      <c r="O376" s="18">
        <f t="shared" si="318"/>
        <v>38018.9396320561</v>
      </c>
      <c r="P376" s="86" t="str">
        <f t="shared" si="319"/>
        <v>163,636363636364</v>
      </c>
      <c r="Q376" s="4" t="str">
        <f t="shared" si="320"/>
        <v>1+1459,33989838672i</v>
      </c>
      <c r="R376" s="4">
        <f t="shared" si="331"/>
        <v>1459.34024100734</v>
      </c>
      <c r="S376" s="4">
        <f t="shared" si="332"/>
        <v>1.57011108558098</v>
      </c>
      <c r="T376" s="4" t="str">
        <f t="shared" si="321"/>
        <v>1+3,74563907252591i</v>
      </c>
      <c r="U376" s="4">
        <f t="shared" si="333"/>
        <v>3.87683015640778</v>
      </c>
      <c r="V376" s="4">
        <f t="shared" si="334"/>
        <v>1.30990409822152</v>
      </c>
      <c r="W376" t="str">
        <f t="shared" si="322"/>
        <v>1-3,58320064336025i</v>
      </c>
      <c r="X376" s="4">
        <f t="shared" si="335"/>
        <v>3.72012457460463</v>
      </c>
      <c r="Y376" s="4">
        <f t="shared" si="336"/>
        <v>-1.29864084870096</v>
      </c>
      <c r="Z376" t="str">
        <f t="shared" si="323"/>
        <v>0,98820049166738+0,742234418981765i</v>
      </c>
      <c r="AA376" s="4">
        <f t="shared" si="337"/>
        <v>1.2359013489971</v>
      </c>
      <c r="AB376" s="4">
        <f t="shared" si="338"/>
        <v>0.644202815492495</v>
      </c>
      <c r="AC376" s="67" t="str">
        <f t="shared" si="339"/>
        <v>-0,773277437807114-1,05556342743378i</v>
      </c>
      <c r="AD376" s="68">
        <f t="shared" si="340"/>
        <v>2.33547427358322</v>
      </c>
      <c r="AE376" s="31">
        <f t="shared" si="341"/>
        <v>-126.225504387528</v>
      </c>
      <c r="AF376" s="32" t="str">
        <f t="shared" si="342"/>
        <v>748,315388573934</v>
      </c>
      <c r="AG376" s="32" t="str">
        <f t="shared" si="324"/>
        <v>1+1189,09176905585i</v>
      </c>
      <c r="AH376" s="32">
        <f t="shared" si="343"/>
        <v>1189.09218954477</v>
      </c>
      <c r="AI376" s="32">
        <f t="shared" si="344"/>
        <v>1.56995534900809</v>
      </c>
      <c r="AJ376" s="32" t="str">
        <f t="shared" si="325"/>
        <v>1+3,74563907252591i</v>
      </c>
      <c r="AK376" s="32">
        <f t="shared" si="345"/>
        <v>3.87683015640778</v>
      </c>
      <c r="AL376" s="32">
        <f t="shared" si="346"/>
        <v>1.30990409822152</v>
      </c>
      <c r="AM376" s="32" t="str">
        <f t="shared" si="326"/>
        <v>1-0,638433769310572i</v>
      </c>
      <c r="AN376" s="32">
        <f t="shared" si="347"/>
        <v>1.18642221733922</v>
      </c>
      <c r="AO376" s="32">
        <f t="shared" si="348"/>
        <v>-0.568201283746693</v>
      </c>
      <c r="AP376" s="30" t="str">
        <f t="shared" si="349"/>
        <v>1,95720985304133-2,13258271188389i</v>
      </c>
      <c r="AQ376" s="32">
        <f t="shared" si="350"/>
        <v>9.23170391279601</v>
      </c>
      <c r="AR376" s="31">
        <f t="shared" si="351"/>
        <v>-47.4553745997693</v>
      </c>
      <c r="AS376" t="str">
        <f t="shared" si="327"/>
        <v>-0,0000504684572142411</v>
      </c>
      <c r="AT376" t="str">
        <f t="shared" si="328"/>
        <v>0,0536763456375364i</v>
      </c>
      <c r="AU376">
        <f t="shared" si="352"/>
        <v>0.0536763456375364</v>
      </c>
      <c r="AV376">
        <f t="shared" si="353"/>
        <v>1.5707963267949</v>
      </c>
      <c r="AW376" t="str">
        <f t="shared" si="329"/>
        <v>1+2,74813044447003i</v>
      </c>
      <c r="AX376">
        <f t="shared" si="354"/>
        <v>2.92441805148016</v>
      </c>
      <c r="AY376">
        <f t="shared" si="355"/>
        <v>1.22180684978234</v>
      </c>
      <c r="AZ376" t="str">
        <f t="shared" si="330"/>
        <v>1+131,384023589876i</v>
      </c>
      <c r="BA376">
        <f t="shared" si="356"/>
        <v>131.387829172512</v>
      </c>
      <c r="BB376">
        <f t="shared" si="357"/>
        <v>1.56318519826615</v>
      </c>
      <c r="BC376" s="30" t="str">
        <f t="shared" si="358"/>
        <v>-0,0141423096603836+0,0398051481929396i</v>
      </c>
      <c r="BD376" s="32">
        <f t="shared" si="359"/>
        <v>-27.4849446152876</v>
      </c>
      <c r="BE376" s="31">
        <f t="shared" si="360"/>
        <v>109.559538585268</v>
      </c>
      <c r="BF376" s="30" t="str">
        <f t="shared" si="361"/>
        <v>0,0529527876349051-0,0158523181492244i</v>
      </c>
      <c r="BG376" s="68">
        <f t="shared" si="362"/>
        <v>-25.1494703417044</v>
      </c>
      <c r="BH376" s="31">
        <f t="shared" si="363"/>
        <v>-16.6659658022598</v>
      </c>
      <c r="BI376" s="30" t="str">
        <f t="shared" si="369"/>
        <v>0,0572083030681749+0,108066673332834i</v>
      </c>
      <c r="BJ376" s="68">
        <f t="shared" si="364"/>
        <v>-18.2532407024917</v>
      </c>
      <c r="BK376" s="31">
        <f t="shared" si="370"/>
        <v>62.1041639854991</v>
      </c>
      <c r="BL376" s="32">
        <f t="shared" si="365"/>
        <v>-25.1494703417044</v>
      </c>
      <c r="BM376" s="31">
        <f t="shared" si="366"/>
        <v>-16.6659658022598</v>
      </c>
      <c r="BO376">
        <f t="shared" si="367"/>
        <v>0</v>
      </c>
      <c r="BP376">
        <f t="shared" si="368"/>
        <v>0</v>
      </c>
    </row>
    <row r="377" spans="14:68">
      <c r="N377" s="7">
        <v>59</v>
      </c>
      <c r="O377" s="18">
        <f t="shared" si="318"/>
        <v>38904.5144994281</v>
      </c>
      <c r="P377" s="86" t="str">
        <f t="shared" si="319"/>
        <v>163,636363636364</v>
      </c>
      <c r="Q377" s="4" t="str">
        <f t="shared" si="320"/>
        <v>1+1493,33229137484i</v>
      </c>
      <c r="R377" s="4">
        <f t="shared" si="331"/>
        <v>1493.33262619646</v>
      </c>
      <c r="S377" s="4">
        <f t="shared" si="332"/>
        <v>1.57012668357061</v>
      </c>
      <c r="T377" s="4" t="str">
        <f t="shared" si="321"/>
        <v>1+3,83288621452875i</v>
      </c>
      <c r="U377" s="4">
        <f t="shared" si="333"/>
        <v>3.96118880306462</v>
      </c>
      <c r="V377" s="4">
        <f t="shared" si="334"/>
        <v>1.31558544407675</v>
      </c>
      <c r="W377" t="str">
        <f t="shared" si="322"/>
        <v>1-3,66666410828643i</v>
      </c>
      <c r="X377" s="4">
        <f t="shared" si="335"/>
        <v>3.80058228209783</v>
      </c>
      <c r="Y377" s="4">
        <f t="shared" si="336"/>
        <v>-1.30454410052522</v>
      </c>
      <c r="Z377" t="str">
        <f t="shared" si="323"/>
        <v>0,987644397971949+0,759523279573618i</v>
      </c>
      <c r="AA377" s="4">
        <f t="shared" si="337"/>
        <v>1.24592016961748</v>
      </c>
      <c r="AB377" s="4">
        <f t="shared" si="338"/>
        <v>0.655566367828887</v>
      </c>
      <c r="AC377" s="67" t="str">
        <f t="shared" si="339"/>
        <v>-0,794813163833872-1,05896908699479i</v>
      </c>
      <c r="AD377" s="68">
        <f t="shared" si="340"/>
        <v>2.43817464011729</v>
      </c>
      <c r="AE377" s="31">
        <f t="shared" si="341"/>
        <v>-126.890195951129</v>
      </c>
      <c r="AF377" s="32" t="str">
        <f t="shared" si="342"/>
        <v>748,315388573934</v>
      </c>
      <c r="AG377" s="32" t="str">
        <f t="shared" si="324"/>
        <v>1+1216,78927445357i</v>
      </c>
      <c r="AH377" s="32">
        <f t="shared" si="343"/>
        <v>1216.789685371</v>
      </c>
      <c r="AI377" s="32">
        <f t="shared" si="344"/>
        <v>1.56997449199091</v>
      </c>
      <c r="AJ377" s="32" t="str">
        <f t="shared" si="325"/>
        <v>1+3,83288621452875i</v>
      </c>
      <c r="AK377" s="32">
        <f t="shared" si="345"/>
        <v>3.96118880306462</v>
      </c>
      <c r="AL377" s="32">
        <f t="shared" si="346"/>
        <v>1.31558544407675</v>
      </c>
      <c r="AM377" s="32" t="str">
        <f t="shared" si="326"/>
        <v>1-0,653304802170896i</v>
      </c>
      <c r="AN377" s="32">
        <f t="shared" si="347"/>
        <v>1.19449033672925</v>
      </c>
      <c r="AO377" s="32">
        <f t="shared" si="348"/>
        <v>-0.578694948665338</v>
      </c>
      <c r="AP377" s="30" t="str">
        <f t="shared" si="349"/>
        <v>1,95718609556436-2,15334910134779i</v>
      </c>
      <c r="AQ377" s="32">
        <f t="shared" si="350"/>
        <v>9.27754680364764</v>
      </c>
      <c r="AR377" s="31">
        <f t="shared" si="351"/>
        <v>-47.7321969838964</v>
      </c>
      <c r="AS377" t="str">
        <f t="shared" si="327"/>
        <v>-0,0000504684572142411</v>
      </c>
      <c r="AT377" t="str">
        <f t="shared" si="328"/>
        <v>0,0549266283421307i</v>
      </c>
      <c r="AU377">
        <f t="shared" si="352"/>
        <v>0.0549266283421307</v>
      </c>
      <c r="AV377">
        <f t="shared" si="353"/>
        <v>1.5707963267949</v>
      </c>
      <c r="AW377" t="str">
        <f t="shared" si="329"/>
        <v>1+2,81214262569958i</v>
      </c>
      <c r="AX377">
        <f t="shared" si="354"/>
        <v>2.98465176315036</v>
      </c>
      <c r="AY377">
        <f t="shared" si="355"/>
        <v>1.22914072297639</v>
      </c>
      <c r="AZ377" t="str">
        <f t="shared" si="330"/>
        <v>1+134,444350637169i</v>
      </c>
      <c r="BA377">
        <f t="shared" si="356"/>
        <v>134.448069596592</v>
      </c>
      <c r="BB377">
        <f t="shared" si="357"/>
        <v>1.56335844223906</v>
      </c>
      <c r="BC377" s="30" t="str">
        <f t="shared" si="358"/>
        <v>-0,0135772533157162+0,0391000068543722i</v>
      </c>
      <c r="BD377" s="32">
        <f t="shared" si="359"/>
        <v>-27.662040152903</v>
      </c>
      <c r="BE377" s="31">
        <f t="shared" si="360"/>
        <v>109.149264752239</v>
      </c>
      <c r="BF377" s="30" t="str">
        <f t="shared" si="361"/>
        <v>0,0521970782241029-0,0166993086062087i</v>
      </c>
      <c r="BG377" s="68">
        <f t="shared" si="362"/>
        <v>-25.2238655127857</v>
      </c>
      <c r="BH377" s="31">
        <f t="shared" si="363"/>
        <v>-17.7409311988894</v>
      </c>
      <c r="BI377" s="30" t="str">
        <f t="shared" si="369"/>
        <v>0,05762275321708+0,105762555978017i</v>
      </c>
      <c r="BJ377" s="68">
        <f t="shared" si="364"/>
        <v>-18.3844933492554</v>
      </c>
      <c r="BK377" s="31">
        <f t="shared" si="370"/>
        <v>61.4170677683428</v>
      </c>
      <c r="BL377" s="32">
        <f t="shared" si="365"/>
        <v>-25.2238655127857</v>
      </c>
      <c r="BM377" s="31">
        <f t="shared" si="366"/>
        <v>-17.7409311988894</v>
      </c>
      <c r="BO377">
        <f t="shared" si="367"/>
        <v>0</v>
      </c>
      <c r="BP377">
        <f t="shared" si="368"/>
        <v>0</v>
      </c>
    </row>
    <row r="378" spans="14:68">
      <c r="N378" s="7">
        <v>60</v>
      </c>
      <c r="O378" s="18">
        <f t="shared" si="318"/>
        <v>39810.7170553497</v>
      </c>
      <c r="P378" s="86" t="str">
        <f t="shared" si="319"/>
        <v>163,636363636364</v>
      </c>
      <c r="Q378" s="4" t="str">
        <f t="shared" si="320"/>
        <v>1+1528,11646891043i</v>
      </c>
      <c r="R378" s="4">
        <f t="shared" si="331"/>
        <v>1528.11679611059</v>
      </c>
      <c r="S378" s="4">
        <f t="shared" si="332"/>
        <v>1.57014192650696</v>
      </c>
      <c r="T378" s="4" t="str">
        <f t="shared" si="321"/>
        <v>1+3,92216560353677i</v>
      </c>
      <c r="U378" s="4">
        <f t="shared" si="333"/>
        <v>4.04763919112944</v>
      </c>
      <c r="V378" s="4">
        <f t="shared" si="334"/>
        <v>1.32115378886569</v>
      </c>
      <c r="W378" t="str">
        <f t="shared" si="322"/>
        <v>1-3,75207168705686i</v>
      </c>
      <c r="X378" s="4">
        <f t="shared" si="335"/>
        <v>3.88304544717335</v>
      </c>
      <c r="Y378" s="4">
        <f t="shared" si="336"/>
        <v>-1.31033140353386</v>
      </c>
      <c r="Z378" t="str">
        <f t="shared" si="323"/>
        <v>0,987062096388073+0,777214849461777i</v>
      </c>
      <c r="AA378" s="4">
        <f t="shared" si="337"/>
        <v>1.25632579546466</v>
      </c>
      <c r="AB378" s="4">
        <f t="shared" si="338"/>
        <v>0.667012002986098</v>
      </c>
      <c r="AC378" s="67" t="str">
        <f t="shared" si="339"/>
        <v>-0,816636036273554-1,06197929900296i</v>
      </c>
      <c r="AD378" s="68">
        <f t="shared" si="340"/>
        <v>2.53990519115839</v>
      </c>
      <c r="AE378" s="31">
        <f t="shared" si="341"/>
        <v>-127.559401277282</v>
      </c>
      <c r="AF378" s="32" t="str">
        <f t="shared" si="342"/>
        <v>748,315388573934</v>
      </c>
      <c r="AG378" s="32" t="str">
        <f t="shared" si="324"/>
        <v>1+1245,13193763072i</v>
      </c>
      <c r="AH378" s="32">
        <f t="shared" si="343"/>
        <v>1245.13233919453</v>
      </c>
      <c r="AI378" s="32">
        <f t="shared" si="344"/>
        <v>1.56999319922683</v>
      </c>
      <c r="AJ378" s="32" t="str">
        <f t="shared" si="325"/>
        <v>1+3,92216560353677i</v>
      </c>
      <c r="AK378" s="32">
        <f t="shared" si="345"/>
        <v>4.04763919112944</v>
      </c>
      <c r="AL378" s="32">
        <f t="shared" si="346"/>
        <v>1.32115378886569</v>
      </c>
      <c r="AM378" s="32" t="str">
        <f t="shared" si="326"/>
        <v>1-0,668522225884841i</v>
      </c>
      <c r="AN378" s="32">
        <f t="shared" si="347"/>
        <v>1.20288069504088</v>
      </c>
      <c r="AO378" s="32">
        <f t="shared" si="348"/>
        <v>-0.589286121542263</v>
      </c>
      <c r="AP378" s="30" t="str">
        <f t="shared" si="349"/>
        <v>1,95716340734856-2,17525722325018i</v>
      </c>
      <c r="AQ378" s="32">
        <f t="shared" si="350"/>
        <v>9.32587021132095</v>
      </c>
      <c r="AR378" s="31">
        <f t="shared" si="351"/>
        <v>-48.0210556802223</v>
      </c>
      <c r="AS378" t="str">
        <f t="shared" si="327"/>
        <v>-0,0000504684572142411</v>
      </c>
      <c r="AT378" t="str">
        <f t="shared" si="328"/>
        <v>0,0562060338721117i</v>
      </c>
      <c r="AU378">
        <f t="shared" si="352"/>
        <v>0.0562060338721117</v>
      </c>
      <c r="AV378">
        <f t="shared" si="353"/>
        <v>1.5707963267949</v>
      </c>
      <c r="AW378" t="str">
        <f t="shared" si="329"/>
        <v>1+2,87764584217237i</v>
      </c>
      <c r="AX378">
        <f t="shared" si="354"/>
        <v>3.04644802893007</v>
      </c>
      <c r="AY378">
        <f t="shared" si="355"/>
        <v>1.23634480986678</v>
      </c>
      <c r="AZ378" t="str">
        <f t="shared" si="330"/>
        <v>1+137,575961858751i</v>
      </c>
      <c r="BA378">
        <f t="shared" si="356"/>
        <v>137.579596166585</v>
      </c>
      <c r="BB378">
        <f t="shared" si="357"/>
        <v>1.56352774312913</v>
      </c>
      <c r="BC378" s="30" t="str">
        <f t="shared" si="358"/>
        <v>-0,0130320190766436+0,038399454359533i</v>
      </c>
      <c r="BD378" s="32">
        <f t="shared" si="359"/>
        <v>-27.8400531045694</v>
      </c>
      <c r="BE378" s="31">
        <f t="shared" si="360"/>
        <v>108.746201204643</v>
      </c>
      <c r="BF378" s="30" t="str">
        <f t="shared" si="361"/>
        <v>0,0514218420262246-0,0175186437196291i</v>
      </c>
      <c r="BG378" s="68">
        <f t="shared" si="362"/>
        <v>-25.300147913411</v>
      </c>
      <c r="BH378" s="31">
        <f t="shared" si="363"/>
        <v>-18.8132000726388</v>
      </c>
      <c r="BI378" s="30" t="str">
        <f t="shared" si="369"/>
        <v>0,0580228996037645+0,103502000564632i</v>
      </c>
      <c r="BJ378" s="68">
        <f t="shared" si="364"/>
        <v>-18.5141828932485</v>
      </c>
      <c r="BK378" s="31">
        <f t="shared" si="370"/>
        <v>60.725145524421</v>
      </c>
      <c r="BL378" s="32">
        <f t="shared" si="365"/>
        <v>-25.300147913411</v>
      </c>
      <c r="BM378" s="31">
        <f t="shared" si="366"/>
        <v>-18.8132000726388</v>
      </c>
      <c r="BO378">
        <f t="shared" si="367"/>
        <v>0</v>
      </c>
      <c r="BP378">
        <f t="shared" si="368"/>
        <v>0</v>
      </c>
    </row>
    <row r="379" spans="14:68">
      <c r="N379" s="7">
        <v>61</v>
      </c>
      <c r="O379" s="18">
        <f t="shared" si="318"/>
        <v>40738.0277804114</v>
      </c>
      <c r="P379" s="86" t="str">
        <f t="shared" si="319"/>
        <v>163,636363636364</v>
      </c>
      <c r="Q379" s="4" t="str">
        <f t="shared" si="320"/>
        <v>1+1563,71087402486i</v>
      </c>
      <c r="R379" s="4">
        <f t="shared" si="331"/>
        <v>1563.71119377703</v>
      </c>
      <c r="S379" s="4">
        <f t="shared" si="332"/>
        <v>1.57015682247201</v>
      </c>
      <c r="T379" s="4" t="str">
        <f t="shared" si="321"/>
        <v>1+4,01352457666381i</v>
      </c>
      <c r="U379" s="4">
        <f t="shared" si="333"/>
        <v>4.13622769289656</v>
      </c>
      <c r="V379" s="4">
        <f t="shared" si="334"/>
        <v>1.32661070318178</v>
      </c>
      <c r="W379" t="str">
        <f t="shared" si="322"/>
        <v>1-3,83946866390033i</v>
      </c>
      <c r="X379" s="4">
        <f t="shared" si="335"/>
        <v>3.96755839542061</v>
      </c>
      <c r="Y379" s="4">
        <f t="shared" si="336"/>
        <v>-1.31600427493317</v>
      </c>
      <c r="Z379" t="str">
        <f t="shared" si="323"/>
        <v>0,98645235177602+0,795318508950782i</v>
      </c>
      <c r="AA379" s="4">
        <f t="shared" si="337"/>
        <v>1.26713052721657</v>
      </c>
      <c r="AB379" s="4">
        <f t="shared" si="338"/>
        <v>0.678534971204806</v>
      </c>
      <c r="AC379" s="67" t="str">
        <f t="shared" si="339"/>
        <v>-0,838728219942074-1,06457710343881i</v>
      </c>
      <c r="AD379" s="68">
        <f t="shared" si="340"/>
        <v>2.64059372972044</v>
      </c>
      <c r="AE379" s="31">
        <f t="shared" si="341"/>
        <v>-128.232845629031</v>
      </c>
      <c r="AF379" s="32" t="str">
        <f t="shared" si="342"/>
        <v>748,315388573934</v>
      </c>
      <c r="AG379" s="32" t="str">
        <f t="shared" si="324"/>
        <v>1+1274,13478624248i</v>
      </c>
      <c r="AH379" s="32">
        <f t="shared" si="343"/>
        <v>1274.13517866558</v>
      </c>
      <c r="AI379" s="32">
        <f t="shared" si="344"/>
        <v>1.57001148063461</v>
      </c>
      <c r="AJ379" s="32" t="str">
        <f t="shared" si="325"/>
        <v>1+4,01352457666381i</v>
      </c>
      <c r="AK379" s="32">
        <f t="shared" si="345"/>
        <v>4.13622769289656</v>
      </c>
      <c r="AL379" s="32">
        <f t="shared" si="346"/>
        <v>1.32661070318178</v>
      </c>
      <c r="AM379" s="32" t="str">
        <f t="shared" si="326"/>
        <v>1-0,684094108931892i</v>
      </c>
      <c r="AN379" s="32">
        <f t="shared" si="347"/>
        <v>1.21160420512448</v>
      </c>
      <c r="AO379" s="32">
        <f t="shared" si="348"/>
        <v>-0.599970913485196</v>
      </c>
      <c r="AP379" s="30" t="str">
        <f t="shared" si="349"/>
        <v>1,95714174026941-2,19831869368464i</v>
      </c>
      <c r="AQ379" s="32">
        <f t="shared" si="350"/>
        <v>9.37668759096079</v>
      </c>
      <c r="AR379" s="31">
        <f t="shared" si="351"/>
        <v>-48.3216384515603</v>
      </c>
      <c r="AS379" t="str">
        <f t="shared" si="327"/>
        <v>-0,0000504684572142411</v>
      </c>
      <c r="AT379" t="str">
        <f t="shared" si="328"/>
        <v>0,0575152405852268i</v>
      </c>
      <c r="AU379">
        <f t="shared" si="352"/>
        <v>0.0575152405852268</v>
      </c>
      <c r="AV379">
        <f t="shared" si="353"/>
        <v>1.5707963267949</v>
      </c>
      <c r="AW379" t="str">
        <f t="shared" si="329"/>
        <v>1+2,94467482456085i</v>
      </c>
      <c r="AX379">
        <f t="shared" si="354"/>
        <v>3.10984080338568</v>
      </c>
      <c r="AY379">
        <f t="shared" si="355"/>
        <v>1.24341993814238</v>
      </c>
      <c r="AZ379" t="str">
        <f t="shared" si="330"/>
        <v>1+140,780517676345i</v>
      </c>
      <c r="BA379">
        <f t="shared" si="356"/>
        <v>140.784069259344</v>
      </c>
      <c r="BB379">
        <f t="shared" si="357"/>
        <v>1.56369319066308</v>
      </c>
      <c r="BC379" s="30" t="str">
        <f t="shared" si="358"/>
        <v>-0,0125061300136232+0,0377039659239713i</v>
      </c>
      <c r="BD379" s="32">
        <f t="shared" si="359"/>
        <v>-28.0189511086891</v>
      </c>
      <c r="BE379" s="31">
        <f t="shared" si="360"/>
        <v>108.350305660364</v>
      </c>
      <c r="BF379" s="30" t="str">
        <f t="shared" si="361"/>
        <v>0,0506280229961873-0,0183096405590369i</v>
      </c>
      <c r="BG379" s="68">
        <f t="shared" si="362"/>
        <v>-25.3783573789687</v>
      </c>
      <c r="BH379" s="31">
        <f t="shared" si="363"/>
        <v>-19.8825399686669</v>
      </c>
      <c r="BI379" s="30" t="str">
        <f t="shared" si="369"/>
        <v>0,0584090640578168+0,101284464878098i</v>
      </c>
      <c r="BJ379" s="68">
        <f t="shared" si="364"/>
        <v>-18.6422635177284</v>
      </c>
      <c r="BK379" s="31">
        <f t="shared" si="370"/>
        <v>60.0286672088033</v>
      </c>
      <c r="BL379" s="32">
        <f t="shared" si="365"/>
        <v>-25.3783573789687</v>
      </c>
      <c r="BM379" s="31">
        <f t="shared" si="366"/>
        <v>-19.8825399686669</v>
      </c>
      <c r="BO379">
        <f t="shared" si="367"/>
        <v>0</v>
      </c>
      <c r="BP379">
        <f t="shared" si="368"/>
        <v>0</v>
      </c>
    </row>
    <row r="380" spans="14:68">
      <c r="N380" s="7">
        <v>62</v>
      </c>
      <c r="O380" s="18">
        <f t="shared" si="318"/>
        <v>41686.9383470336</v>
      </c>
      <c r="P380" s="86" t="str">
        <f t="shared" si="319"/>
        <v>163,636363636364</v>
      </c>
      <c r="Q380" s="4" t="str">
        <f t="shared" si="320"/>
        <v>1+1600,13437934285i</v>
      </c>
      <c r="R380" s="4">
        <f t="shared" si="331"/>
        <v>1600.13469181658</v>
      </c>
      <c r="S380" s="4">
        <f t="shared" si="332"/>
        <v>1.57017137936378</v>
      </c>
      <c r="T380" s="4" t="str">
        <f t="shared" si="321"/>
        <v>1+4,10701157364665i</v>
      </c>
      <c r="U380" s="4">
        <f t="shared" si="333"/>
        <v>4.22700178212259</v>
      </c>
      <c r="V380" s="4">
        <f t="shared" si="334"/>
        <v>1.33195777983591</v>
      </c>
      <c r="W380" t="str">
        <f t="shared" si="322"/>
        <v>1-3,92890137785075i</v>
      </c>
      <c r="X380" s="4">
        <f t="shared" si="335"/>
        <v>4.05416650334906</v>
      </c>
      <c r="Y380" s="4">
        <f t="shared" si="336"/>
        <v>-1.32156426146004</v>
      </c>
      <c r="Z380" t="str">
        <f t="shared" si="323"/>
        <v>0,985813870785719+0,813843856840512i</v>
      </c>
      <c r="AA380" s="4">
        <f t="shared" si="337"/>
        <v>1.27834690563656</v>
      </c>
      <c r="AB380" s="4">
        <f t="shared" si="338"/>
        <v>0.690130362042248</v>
      </c>
      <c r="AC380" s="67" t="str">
        <f t="shared" si="339"/>
        <v>-0,861070852413484-1,06674642885502i</v>
      </c>
      <c r="AD380" s="68">
        <f t="shared" si="340"/>
        <v>2.7401713269476</v>
      </c>
      <c r="AE380" s="31">
        <f t="shared" si="341"/>
        <v>-128.910245471407</v>
      </c>
      <c r="AF380" s="32" t="str">
        <f t="shared" si="342"/>
        <v>748,315388573934</v>
      </c>
      <c r="AG380" s="32" t="str">
        <f t="shared" si="324"/>
        <v>1+1303,81319798306i</v>
      </c>
      <c r="AH380" s="32">
        <f t="shared" si="343"/>
        <v>1303.81358147352</v>
      </c>
      <c r="AI380" s="32">
        <f t="shared" si="344"/>
        <v>1.57002934590725</v>
      </c>
      <c r="AJ380" s="32" t="str">
        <f t="shared" si="325"/>
        <v>1+4,10701157364665i</v>
      </c>
      <c r="AK380" s="32">
        <f t="shared" si="345"/>
        <v>4.22700178212259</v>
      </c>
      <c r="AL380" s="32">
        <f t="shared" si="346"/>
        <v>1.33195777983591</v>
      </c>
      <c r="AM380" s="32" t="str">
        <f t="shared" si="326"/>
        <v>1-0,700028707730551i</v>
      </c>
      <c r="AN380" s="32">
        <f t="shared" si="347"/>
        <v>1.22067202460239</v>
      </c>
      <c r="AO380" s="32">
        <f t="shared" si="348"/>
        <v>-0.610745231062615</v>
      </c>
      <c r="AP380" s="30" t="str">
        <f t="shared" si="349"/>
        <v>1,95712104836827-2,22254574025753i</v>
      </c>
      <c r="AQ380" s="32">
        <f t="shared" si="350"/>
        <v>9.43001196117856</v>
      </c>
      <c r="AR380" s="31">
        <f t="shared" si="351"/>
        <v>-48.633620055588</v>
      </c>
      <c r="AS380" t="str">
        <f t="shared" si="327"/>
        <v>-0,0000504684572142411</v>
      </c>
      <c r="AT380" t="str">
        <f t="shared" si="328"/>
        <v>0,0588549426402041i</v>
      </c>
      <c r="AU380">
        <f t="shared" si="352"/>
        <v>0.0588549426402041</v>
      </c>
      <c r="AV380">
        <f t="shared" si="353"/>
        <v>1.5707963267949</v>
      </c>
      <c r="AW380" t="str">
        <f t="shared" si="329"/>
        <v>1+3,01326511251867i</v>
      </c>
      <c r="AX380">
        <f t="shared" si="354"/>
        <v>3.17486482205497</v>
      </c>
      <c r="AY380">
        <f t="shared" si="355"/>
        <v>1.25036702490925</v>
      </c>
      <c r="AZ380" t="str">
        <f t="shared" si="330"/>
        <v>1+144,05971718786i</v>
      </c>
      <c r="BA380">
        <f t="shared" si="356"/>
        <v>144.06318792893</v>
      </c>
      <c r="BB380">
        <f t="shared" si="357"/>
        <v>1.56385487252714</v>
      </c>
      <c r="BC380" s="30" t="str">
        <f t="shared" si="358"/>
        <v>-0,0119991028716045+0,0370139839077124i</v>
      </c>
      <c r="BD380" s="32">
        <f t="shared" si="359"/>
        <v>-28.1987025967708</v>
      </c>
      <c r="BE380" s="31">
        <f t="shared" si="360"/>
        <v>107.961530597145</v>
      </c>
      <c r="BF380" s="30" t="str">
        <f t="shared" si="361"/>
        <v>0,0498166128890989-0,0190716625368848i</v>
      </c>
      <c r="BG380" s="68">
        <f t="shared" si="362"/>
        <v>-25.4585312698232</v>
      </c>
      <c r="BH380" s="31">
        <f t="shared" si="363"/>
        <v>-20.9487148742617</v>
      </c>
      <c r="BI380" s="30" t="str">
        <f t="shared" si="369"/>
        <v>0,0587815754724936+0,0991094019639448i</v>
      </c>
      <c r="BJ380" s="68">
        <f t="shared" si="364"/>
        <v>-18.7686906355922</v>
      </c>
      <c r="BK380" s="31">
        <f t="shared" si="370"/>
        <v>59.3279105415571</v>
      </c>
      <c r="BL380" s="32">
        <f t="shared" si="365"/>
        <v>-25.4585312698232</v>
      </c>
      <c r="BM380" s="31">
        <f t="shared" si="366"/>
        <v>-20.9487148742617</v>
      </c>
      <c r="BO380">
        <f t="shared" si="367"/>
        <v>0</v>
      </c>
      <c r="BP380">
        <f t="shared" si="368"/>
        <v>0</v>
      </c>
    </row>
    <row r="381" spans="14:68">
      <c r="N381" s="7">
        <v>63</v>
      </c>
      <c r="O381" s="18">
        <f t="shared" si="318"/>
        <v>42657.9518801593</v>
      </c>
      <c r="P381" s="86" t="str">
        <f t="shared" si="319"/>
        <v>163,636363636364</v>
      </c>
      <c r="Q381" s="4" t="str">
        <f t="shared" si="320"/>
        <v>1+1637,40629708905i</v>
      </c>
      <c r="R381" s="4">
        <f t="shared" si="331"/>
        <v>1637.40660245001</v>
      </c>
      <c r="S381" s="4">
        <f t="shared" si="332"/>
        <v>1.57018560490049</v>
      </c>
      <c r="T381" s="4" t="str">
        <f t="shared" si="321"/>
        <v>1+4,20267616252857i</v>
      </c>
      <c r="U381" s="4">
        <f t="shared" si="333"/>
        <v>4.32001006099359</v>
      </c>
      <c r="V381" s="4">
        <f t="shared" si="334"/>
        <v>1.33719663035529</v>
      </c>
      <c r="W381" t="str">
        <f t="shared" si="322"/>
        <v>1-4,02041724731687i</v>
      </c>
      <c r="X381" s="4">
        <f t="shared" si="335"/>
        <v>4.14291622441523</v>
      </c>
      <c r="Y381" s="4">
        <f t="shared" si="336"/>
        <v>-1.32701293548875</v>
      </c>
      <c r="Z381" t="str">
        <f t="shared" si="323"/>
        <v>0,985145299113388+0,832800715515637i</v>
      </c>
      <c r="AA381" s="4">
        <f t="shared" si="337"/>
        <v>1.28998771006881</v>
      </c>
      <c r="AB381" s="4">
        <f t="shared" si="338"/>
        <v>0.701793114663524</v>
      </c>
      <c r="AC381" s="67" t="str">
        <f t="shared" si="339"/>
        <v>-0,88364409738882-1,06847217332417i</v>
      </c>
      <c r="AD381" s="68">
        <f t="shared" si="340"/>
        <v>2.83857239154115</v>
      </c>
      <c r="AE381" s="31">
        <f t="shared" si="341"/>
        <v>-129.591309038853</v>
      </c>
      <c r="AF381" s="32" t="str">
        <f t="shared" si="342"/>
        <v>748,315388573934</v>
      </c>
      <c r="AG381" s="32" t="str">
        <f t="shared" si="324"/>
        <v>1+1334,18290873923i</v>
      </c>
      <c r="AH381" s="32">
        <f t="shared" si="343"/>
        <v>1334.18328350039</v>
      </c>
      <c r="AI381" s="32">
        <f t="shared" si="344"/>
        <v>1.57004680451711</v>
      </c>
      <c r="AJ381" s="32" t="str">
        <f t="shared" si="325"/>
        <v>1+4,20267616252857i</v>
      </c>
      <c r="AK381" s="32">
        <f t="shared" si="345"/>
        <v>4.32001006099359</v>
      </c>
      <c r="AL381" s="32">
        <f t="shared" si="346"/>
        <v>1.33719663035529</v>
      </c>
      <c r="AM381" s="32" t="str">
        <f t="shared" si="326"/>
        <v>1-0,716334471016024i</v>
      </c>
      <c r="AN381" s="32">
        <f t="shared" si="347"/>
        <v>1.2300955549736</v>
      </c>
      <c r="AO381" s="32">
        <f t="shared" si="348"/>
        <v>-0.621604781048678</v>
      </c>
      <c r="AP381" s="30" t="str">
        <f t="shared" si="349"/>
        <v>1,95710128775502-2,24795120857183i</v>
      </c>
      <c r="AQ381" s="32">
        <f t="shared" si="350"/>
        <v>9.4858557754735</v>
      </c>
      <c r="AR381" s="31">
        <f t="shared" si="351"/>
        <v>-48.9566627176015</v>
      </c>
      <c r="AS381" t="str">
        <f t="shared" si="327"/>
        <v>-0,0000504684572142411</v>
      </c>
      <c r="AT381" t="str">
        <f t="shared" si="328"/>
        <v>0,0602258503648066i</v>
      </c>
      <c r="AU381">
        <f t="shared" si="352"/>
        <v>0.0602258503648066</v>
      </c>
      <c r="AV381">
        <f t="shared" si="353"/>
        <v>1.5707963267949</v>
      </c>
      <c r="AW381" t="str">
        <f t="shared" si="329"/>
        <v>1+3,08345307352443i</v>
      </c>
      <c r="AX381">
        <f t="shared" si="354"/>
        <v>3.24155562294206</v>
      </c>
      <c r="AY381">
        <f t="shared" si="355"/>
        <v>1.25718707046826</v>
      </c>
      <c r="AZ381" t="str">
        <f t="shared" si="330"/>
        <v>1+147,415299068285i</v>
      </c>
      <c r="BA381">
        <f t="shared" si="356"/>
        <v>147.418690807482</v>
      </c>
      <c r="BB381">
        <f t="shared" si="357"/>
        <v>1.56401287441333</v>
      </c>
      <c r="BC381" s="30" t="str">
        <f t="shared" si="358"/>
        <v>-0,0115104498741806+0,0363299186693376i</v>
      </c>
      <c r="BD381" s="32">
        <f t="shared" si="359"/>
        <v>-28.3792768024269</v>
      </c>
      <c r="BE381" s="31">
        <f t="shared" si="360"/>
        <v>107.579823611761</v>
      </c>
      <c r="BF381" s="30" t="str">
        <f t="shared" si="361"/>
        <v>0,0489886482469271-0,0198041227977714i</v>
      </c>
      <c r="BG381" s="68">
        <f t="shared" si="362"/>
        <v>-25.5407044108857</v>
      </c>
      <c r="BH381" s="31">
        <f t="shared" si="363"/>
        <v>-22.011485427092</v>
      </c>
      <c r="BI381" s="30" t="str">
        <f t="shared" si="369"/>
        <v>0,0591407683086553+0,0969762603176655i</v>
      </c>
      <c r="BJ381" s="68">
        <f t="shared" si="364"/>
        <v>-18.8934210269534</v>
      </c>
      <c r="BK381" s="31">
        <f t="shared" si="370"/>
        <v>58.6231608941596</v>
      </c>
      <c r="BL381" s="32">
        <f t="shared" si="365"/>
        <v>-25.5407044108857</v>
      </c>
      <c r="BM381" s="31">
        <f t="shared" si="366"/>
        <v>-22.011485427092</v>
      </c>
      <c r="BO381">
        <f t="shared" si="367"/>
        <v>0</v>
      </c>
      <c r="BP381">
        <f t="shared" si="368"/>
        <v>0</v>
      </c>
    </row>
    <row r="382" spans="14:68">
      <c r="N382" s="7">
        <v>64</v>
      </c>
      <c r="O382" s="18">
        <f t="shared" si="318"/>
        <v>43651.5832240166</v>
      </c>
      <c r="P382" s="86" t="str">
        <f t="shared" si="319"/>
        <v>163,636363636364</v>
      </c>
      <c r="Q382" s="4" t="str">
        <f t="shared" si="320"/>
        <v>1+1675,5463893276i</v>
      </c>
      <c r="R382" s="4">
        <f t="shared" si="331"/>
        <v>1675.54668773769</v>
      </c>
      <c r="S382" s="4">
        <f t="shared" si="332"/>
        <v>1.57019950662469</v>
      </c>
      <c r="T382" s="4" t="str">
        <f t="shared" si="321"/>
        <v>1+4,30056906594085i</v>
      </c>
      <c r="U382" s="4">
        <f t="shared" si="333"/>
        <v>4.41530228760471</v>
      </c>
      <c r="V382" s="4">
        <f t="shared" si="334"/>
        <v>1.34232888167969</v>
      </c>
      <c r="W382" t="str">
        <f t="shared" si="322"/>
        <v>1-4,11406479522402i</v>
      </c>
      <c r="X382" s="4">
        <f t="shared" si="335"/>
        <v>4.23385511553025</v>
      </c>
      <c r="Y382" s="4">
        <f t="shared" si="336"/>
        <v>-1.33235189134317</v>
      </c>
      <c r="Z382" t="str">
        <f t="shared" si="323"/>
        <v>0,984445218628871+0,852199136153547i</v>
      </c>
      <c r="AA382" s="4">
        <f t="shared" si="337"/>
        <v>1.30206595690929</v>
      </c>
      <c r="AB382" s="4">
        <f t="shared" si="338"/>
        <v>0.713518029031076</v>
      </c>
      <c r="AC382" s="67" t="str">
        <f t="shared" si="339"/>
        <v>-0,906427205704041-1,06974028159655i</v>
      </c>
      <c r="AD382" s="68">
        <f t="shared" si="340"/>
        <v>2.93573473205308</v>
      </c>
      <c r="AE382" s="31">
        <f t="shared" si="341"/>
        <v>-130.275736954567</v>
      </c>
      <c r="AF382" s="32" t="str">
        <f t="shared" si="342"/>
        <v>748,315388573934</v>
      </c>
      <c r="AG382" s="32" t="str">
        <f t="shared" si="324"/>
        <v>1+1365,2600209336i</v>
      </c>
      <c r="AH382" s="32">
        <f t="shared" si="343"/>
        <v>1365.26038716415</v>
      </c>
      <c r="AI382" s="32">
        <f t="shared" si="344"/>
        <v>1.57006386572094</v>
      </c>
      <c r="AJ382" s="32" t="str">
        <f t="shared" si="325"/>
        <v>1+4,30056906594085i</v>
      </c>
      <c r="AK382" s="32">
        <f t="shared" si="345"/>
        <v>4.41530228760471</v>
      </c>
      <c r="AL382" s="32">
        <f t="shared" si="346"/>
        <v>1.34232888167969</v>
      </c>
      <c r="AM382" s="32" t="str">
        <f t="shared" si="326"/>
        <v>1-0,733020044319837i</v>
      </c>
      <c r="AN382" s="32">
        <f t="shared" si="347"/>
        <v>1.23988644051569</v>
      </c>
      <c r="AO382" s="32">
        <f t="shared" si="348"/>
        <v>-0.632545076158532</v>
      </c>
      <c r="AP382" s="30" t="str">
        <f t="shared" si="349"/>
        <v>1,95708241651491-2,27454856903852i</v>
      </c>
      <c r="AQ382" s="32">
        <f t="shared" si="350"/>
        <v>9.54423079430003</v>
      </c>
      <c r="AR382" s="31">
        <f t="shared" si="351"/>
        <v>-49.2904166487078</v>
      </c>
      <c r="AS382" t="str">
        <f t="shared" si="327"/>
        <v>-0,0000504684572142411</v>
      </c>
      <c r="AT382" t="str">
        <f t="shared" si="328"/>
        <v>0,0616286906324558i</v>
      </c>
      <c r="AU382">
        <f t="shared" si="352"/>
        <v>0.0616286906324558</v>
      </c>
      <c r="AV382">
        <f t="shared" si="353"/>
        <v>1.5707963267949</v>
      </c>
      <c r="AW382" t="str">
        <f t="shared" si="329"/>
        <v>1+3,1552759221641i</v>
      </c>
      <c r="AX382">
        <f t="shared" si="354"/>
        <v>3.30994956834519</v>
      </c>
      <c r="AY382">
        <f t="shared" si="355"/>
        <v>1.26388115226306</v>
      </c>
      <c r="AZ382" t="str">
        <f t="shared" si="330"/>
        <v>1+150,849042491547i</v>
      </c>
      <c r="BA382">
        <f t="shared" si="356"/>
        <v>150.85235702705</v>
      </c>
      <c r="BB382">
        <f t="shared" si="357"/>
        <v>1.56416728006478</v>
      </c>
      <c r="BC382" s="30" t="str">
        <f t="shared" si="358"/>
        <v>-0,0110396804033937+0,035652149487926i</v>
      </c>
      <c r="BD382" s="32">
        <f t="shared" si="359"/>
        <v>-28.5606437674887</v>
      </c>
      <c r="BE382" s="31">
        <f t="shared" si="360"/>
        <v>107.205127769364</v>
      </c>
      <c r="BF382" s="30" t="str">
        <f t="shared" si="361"/>
        <v>0,0481452070926501-0,0205064874142212i</v>
      </c>
      <c r="BG382" s="68">
        <f t="shared" si="362"/>
        <v>-25.6249090354356</v>
      </c>
      <c r="BH382" s="31">
        <f t="shared" si="363"/>
        <v>-23.0706091852031</v>
      </c>
      <c r="BI382" s="30" t="str">
        <f t="shared" si="369"/>
        <v>0,0594869811994835+0,0948844841379628i</v>
      </c>
      <c r="BJ382" s="68">
        <f t="shared" si="364"/>
        <v>-19.0164129731887</v>
      </c>
      <c r="BK382" s="31">
        <f t="shared" si="370"/>
        <v>57.9147111206564</v>
      </c>
      <c r="BL382" s="32">
        <f t="shared" si="365"/>
        <v>-25.6249090354356</v>
      </c>
      <c r="BM382" s="31">
        <f t="shared" si="366"/>
        <v>-23.0706091852031</v>
      </c>
      <c r="BO382">
        <f t="shared" si="367"/>
        <v>0</v>
      </c>
      <c r="BP382">
        <f t="shared" si="368"/>
        <v>0</v>
      </c>
    </row>
    <row r="383" spans="14:68">
      <c r="N383" s="7">
        <v>65</v>
      </c>
      <c r="O383" s="18">
        <f t="shared" si="318"/>
        <v>44668.3592150964</v>
      </c>
      <c r="P383" s="86" t="str">
        <f t="shared" si="319"/>
        <v>163,636363636364</v>
      </c>
      <c r="Q383" s="4" t="str">
        <f t="shared" si="320"/>
        <v>1+1714,57487844026i</v>
      </c>
      <c r="R383" s="4">
        <f t="shared" si="331"/>
        <v>1714.57517005771</v>
      </c>
      <c r="S383" s="4">
        <f t="shared" si="332"/>
        <v>1.57021309190724</v>
      </c>
      <c r="T383" s="4" t="str">
        <f t="shared" si="321"/>
        <v>1+4,40074218799667i</v>
      </c>
      <c r="U383" s="4">
        <f t="shared" si="333"/>
        <v>4.51292940396963</v>
      </c>
      <c r="V383" s="4">
        <f t="shared" si="334"/>
        <v>1.34735617304978</v>
      </c>
      <c r="W383" t="str">
        <f t="shared" si="322"/>
        <v>1-4,20989367474172i</v>
      </c>
      <c r="X383" s="4">
        <f t="shared" si="335"/>
        <v>4.3270318640646</v>
      </c>
      <c r="Y383" s="4">
        <f t="shared" si="336"/>
        <v>-1.33758274181061</v>
      </c>
      <c r="Z383" t="str">
        <f t="shared" si="323"/>
        <v>0,983712144367601+0,87204940405364i</v>
      </c>
      <c r="AA383" s="4">
        <f t="shared" si="337"/>
        <v>1.3145948980909</v>
      </c>
      <c r="AB383" s="4">
        <f t="shared" si="338"/>
        <v>0.725299777945313</v>
      </c>
      <c r="AC383" s="67" t="str">
        <f t="shared" si="339"/>
        <v>-0,929398583668981-1,07053781765185i</v>
      </c>
      <c r="AD383" s="68">
        <f t="shared" si="340"/>
        <v>3.03159961154821</v>
      </c>
      <c r="AE383" s="31">
        <f t="shared" si="341"/>
        <v>-130.963222899148</v>
      </c>
      <c r="AF383" s="32" t="str">
        <f t="shared" si="342"/>
        <v>748,315388573934</v>
      </c>
      <c r="AG383" s="32" t="str">
        <f t="shared" si="324"/>
        <v>1+1397,06101206244i</v>
      </c>
      <c r="AH383" s="32">
        <f t="shared" si="343"/>
        <v>1397.06136995657</v>
      </c>
      <c r="AI383" s="32">
        <f t="shared" si="344"/>
        <v>1.57008053856476</v>
      </c>
      <c r="AJ383" s="32" t="str">
        <f t="shared" si="325"/>
        <v>1+4,40074218799667i</v>
      </c>
      <c r="AK383" s="32">
        <f t="shared" si="345"/>
        <v>4.51292940396963</v>
      </c>
      <c r="AL383" s="32">
        <f t="shared" si="346"/>
        <v>1.34735617304978</v>
      </c>
      <c r="AM383" s="32" t="str">
        <f t="shared" si="326"/>
        <v>1-0,75009427455382i</v>
      </c>
      <c r="AN383" s="32">
        <f t="shared" si="347"/>
        <v>1.25005656700744</v>
      </c>
      <c r="AO383" s="32">
        <f t="shared" si="348"/>
        <v>-0.643561441777481</v>
      </c>
      <c r="AP383" s="30" t="str">
        <f t="shared" si="349"/>
        <v>1,9570643946196-2,30235192401915i</v>
      </c>
      <c r="AQ383" s="32">
        <f t="shared" si="350"/>
        <v>9.6051479586414</v>
      </c>
      <c r="AR383" s="31">
        <f t="shared" si="351"/>
        <v>-49.6345206099414</v>
      </c>
      <c r="AS383" t="str">
        <f t="shared" si="327"/>
        <v>-0,0000504684572142411</v>
      </c>
      <c r="AT383" t="str">
        <f t="shared" si="328"/>
        <v>0,0630642072476307i</v>
      </c>
      <c r="AU383">
        <f t="shared" si="352"/>
        <v>0.0630642072476307</v>
      </c>
      <c r="AV383">
        <f t="shared" si="353"/>
        <v>1.5707963267949</v>
      </c>
      <c r="AW383" t="str">
        <f t="shared" si="329"/>
        <v>1+3,22877173986273i</v>
      </c>
      <c r="AX383">
        <f t="shared" si="354"/>
        <v>3.380083867027</v>
      </c>
      <c r="AY383">
        <f t="shared" si="355"/>
        <v>1.27045041901024</v>
      </c>
      <c r="AZ383" t="str">
        <f t="shared" si="330"/>
        <v>1+154,362768073863i</v>
      </c>
      <c r="BA383">
        <f t="shared" si="356"/>
        <v>154.366007162928</v>
      </c>
      <c r="BB383">
        <f t="shared" si="357"/>
        <v>1.56431817131993</v>
      </c>
      <c r="BC383" s="30" t="str">
        <f t="shared" si="358"/>
        <v>-0,0105863025568512+0,0349810255413079i</v>
      </c>
      <c r="BD383" s="32">
        <f t="shared" si="359"/>
        <v>-28.7427743454432</v>
      </c>
      <c r="BE383" s="31">
        <f t="shared" si="360"/>
        <v>106.837381942341</v>
      </c>
      <c r="BF383" s="30" t="str">
        <f t="shared" si="361"/>
        <v>0,0472874053448442-0,0211782783571663i</v>
      </c>
      <c r="BG383" s="68">
        <f t="shared" si="362"/>
        <v>-25.711174733895</v>
      </c>
      <c r="BH383" s="31">
        <f t="shared" si="363"/>
        <v>-24.1258409568071</v>
      </c>
      <c r="BI383" s="30" t="str">
        <f t="shared" si="369"/>
        <v>0,0598205556545093+0,0928335136341877i</v>
      </c>
      <c r="BJ383" s="68">
        <f t="shared" si="364"/>
        <v>-19.1376263868018</v>
      </c>
      <c r="BK383" s="31">
        <f t="shared" si="370"/>
        <v>57.2028613323999</v>
      </c>
      <c r="BL383" s="32">
        <f t="shared" si="365"/>
        <v>-25.711174733895</v>
      </c>
      <c r="BM383" s="31">
        <f t="shared" si="366"/>
        <v>-24.1258409568071</v>
      </c>
      <c r="BO383">
        <f t="shared" si="367"/>
        <v>0</v>
      </c>
      <c r="BP383">
        <f t="shared" si="368"/>
        <v>0</v>
      </c>
    </row>
    <row r="384" spans="14:68">
      <c r="N384" s="7">
        <v>66</v>
      </c>
      <c r="O384" s="18">
        <f t="shared" ref="O384:O418" si="371">10^(4+(N384/100))</f>
        <v>45708.8189614876</v>
      </c>
      <c r="P384" s="86" t="str">
        <f t="shared" si="319"/>
        <v>163,636363636364</v>
      </c>
      <c r="Q384" s="4" t="str">
        <f t="shared" si="320"/>
        <v>1+1754,51245784855i</v>
      </c>
      <c r="R384" s="4">
        <f t="shared" si="331"/>
        <v>1754.51274282798</v>
      </c>
      <c r="S384" s="4">
        <f t="shared" si="332"/>
        <v>1.57022636795121</v>
      </c>
      <c r="T384" s="4" t="str">
        <f t="shared" si="321"/>
        <v>1+4,50324864181127i</v>
      </c>
      <c r="U384" s="4">
        <f t="shared" si="333"/>
        <v>4.61294356457729</v>
      </c>
      <c r="V384" s="4">
        <f t="shared" si="334"/>
        <v>1.35228015308222</v>
      </c>
      <c r="W384" t="str">
        <f t="shared" si="322"/>
        <v>1-4,30795469561027i</v>
      </c>
      <c r="X384" s="4">
        <f t="shared" si="335"/>
        <v>4.42249631536653</v>
      </c>
      <c r="Y384" s="4">
        <f t="shared" si="336"/>
        <v>-1.34270711485243</v>
      </c>
      <c r="Z384" t="str">
        <f t="shared" si="323"/>
        <v>0,982944521380783+0,892362044090698i</v>
      </c>
      <c r="AA384" s="4">
        <f t="shared" si="337"/>
        <v>1.32758801962289</v>
      </c>
      <c r="AB384" s="4">
        <f t="shared" si="338"/>
        <v>0.73713291988027</v>
      </c>
      <c r="AC384" s="67" t="str">
        <f t="shared" si="339"/>
        <v>-0,952535868330765-1,07085303185659i</v>
      </c>
      <c r="AD384" s="68">
        <f t="shared" si="340"/>
        <v>3.12611179415599</v>
      </c>
      <c r="AE384" s="31">
        <f t="shared" si="341"/>
        <v>-131.653454325371</v>
      </c>
      <c r="AF384" s="32" t="str">
        <f t="shared" si="342"/>
        <v>748,315388573934</v>
      </c>
      <c r="AG384" s="32" t="str">
        <f t="shared" si="324"/>
        <v>1+1429,60274343215i</v>
      </c>
      <c r="AH384" s="32">
        <f t="shared" si="343"/>
        <v>1429.60309317962</v>
      </c>
      <c r="AI384" s="32">
        <f t="shared" si="344"/>
        <v>1.57009683188871</v>
      </c>
      <c r="AJ384" s="32" t="str">
        <f t="shared" si="325"/>
        <v>1+4,50324864181127i</v>
      </c>
      <c r="AK384" s="32">
        <f t="shared" si="345"/>
        <v>4.61294356457729</v>
      </c>
      <c r="AL384" s="32">
        <f t="shared" si="346"/>
        <v>1.35228015308222</v>
      </c>
      <c r="AM384" s="32" t="str">
        <f t="shared" si="326"/>
        <v>1-0,76756621470084i</v>
      </c>
      <c r="AN384" s="32">
        <f t="shared" si="347"/>
        <v>1.26061806029827</v>
      </c>
      <c r="AO384" s="32">
        <f t="shared" si="348"/>
        <v>-0.654649023678862</v>
      </c>
      <c r="AP384" s="30" t="str">
        <f t="shared" si="349"/>
        <v>1,9570471838424-2,33137601530365i</v>
      </c>
      <c r="AQ384" s="32">
        <f t="shared" si="350"/>
        <v>9.66861726595888</v>
      </c>
      <c r="AR384" s="31">
        <f t="shared" si="351"/>
        <v>-49.9886025223272</v>
      </c>
      <c r="AS384" t="str">
        <f t="shared" si="327"/>
        <v>-0,0000504684572142411</v>
      </c>
      <c r="AT384" t="str">
        <f t="shared" si="328"/>
        <v>0,0645331613402417i</v>
      </c>
      <c r="AU384">
        <f t="shared" si="352"/>
        <v>0.0645331613402417</v>
      </c>
      <c r="AV384">
        <f t="shared" si="353"/>
        <v>1.5707963267949</v>
      </c>
      <c r="AW384" t="str">
        <f t="shared" si="329"/>
        <v>1+3,30397949507567i</v>
      </c>
      <c r="AX384">
        <f t="shared" si="354"/>
        <v>3.45199659673651</v>
      </c>
      <c r="AY384">
        <f t="shared" si="355"/>
        <v>1.27689608502111</v>
      </c>
      <c r="AZ384" t="str">
        <f t="shared" si="330"/>
        <v>1+157,958338839043i</v>
      </c>
      <c r="BA384">
        <f t="shared" si="356"/>
        <v>157.961504198934</v>
      </c>
      <c r="BB384">
        <f t="shared" si="357"/>
        <v>1.56446562815584</v>
      </c>
      <c r="BC384" s="30" t="str">
        <f t="shared" si="358"/>
        <v>-0,0101498245845763+0,0343168669298502i</v>
      </c>
      <c r="BD384" s="32">
        <f t="shared" si="359"/>
        <v>-28.9256402023932</v>
      </c>
      <c r="BE384" s="31">
        <f t="shared" si="360"/>
        <v>106.476521138125</v>
      </c>
      <c r="BF384" s="30" t="str">
        <f t="shared" si="361"/>
        <v>0,0464163929697236-0,0218190762102101i</v>
      </c>
      <c r="BG384" s="68">
        <f t="shared" si="362"/>
        <v>-25.7995284082372</v>
      </c>
      <c r="BH384" s="31">
        <f t="shared" si="363"/>
        <v>-25.1769331872459</v>
      </c>
      <c r="BI384" s="30" t="str">
        <f t="shared" si="369"/>
        <v>0,0601418348608804+0,0908227853793782i</v>
      </c>
      <c r="BJ384" s="68">
        <f t="shared" si="364"/>
        <v>-19.2570229364343</v>
      </c>
      <c r="BK384" s="31">
        <f t="shared" si="370"/>
        <v>56.4879186157977</v>
      </c>
      <c r="BL384" s="32">
        <f t="shared" si="365"/>
        <v>-25.7995284082372</v>
      </c>
      <c r="BM384" s="31">
        <f t="shared" si="366"/>
        <v>-25.1769331872459</v>
      </c>
      <c r="BO384">
        <f t="shared" si="367"/>
        <v>0</v>
      </c>
      <c r="BP384">
        <f t="shared" si="368"/>
        <v>0</v>
      </c>
    </row>
    <row r="385" spans="14:68">
      <c r="N385" s="7">
        <v>67</v>
      </c>
      <c r="O385" s="18">
        <f t="shared" si="371"/>
        <v>46773.5141287199</v>
      </c>
      <c r="P385" s="86" t="str">
        <f t="shared" si="319"/>
        <v>163,636363636364</v>
      </c>
      <c r="Q385" s="4" t="str">
        <f t="shared" si="320"/>
        <v>1+1795,3803029857i</v>
      </c>
      <c r="R385" s="4">
        <f t="shared" si="331"/>
        <v>1795.38058147821</v>
      </c>
      <c r="S385" s="4">
        <f t="shared" si="332"/>
        <v>1.57023934179572</v>
      </c>
      <c r="T385" s="4" t="str">
        <f t="shared" si="321"/>
        <v>1+4,60814277766329i</v>
      </c>
      <c r="U385" s="4">
        <f t="shared" si="333"/>
        <v>4.71539816551374</v>
      </c>
      <c r="V385" s="4">
        <f t="shared" si="334"/>
        <v>1.35710247702558</v>
      </c>
      <c r="W385" t="str">
        <f t="shared" si="322"/>
        <v>1-4,40829985108095i</v>
      </c>
      <c r="X385" s="4">
        <f t="shared" si="335"/>
        <v>4.5202995008119</v>
      </c>
      <c r="Y385" s="4">
        <f t="shared" si="336"/>
        <v>-1.34772665050661</v>
      </c>
      <c r="Z385" t="str">
        <f t="shared" si="323"/>
        <v>0,982140721437146+0,91314782629534i</v>
      </c>
      <c r="AA385" s="4">
        <f t="shared" si="337"/>
        <v>1.34105904022641</v>
      </c>
      <c r="AB385" s="4">
        <f t="shared" si="338"/>
        <v>0.749011912549647</v>
      </c>
      <c r="AC385" s="67" t="str">
        <f t="shared" si="339"/>
        <v>-0,975816009160311-1,07067542197989i</v>
      </c>
      <c r="AD385" s="68">
        <f t="shared" si="340"/>
        <v>3.21921958306284</v>
      </c>
      <c r="AE385" s="31">
        <f t="shared" si="341"/>
        <v>-132.346113215428</v>
      </c>
      <c r="AF385" s="32" t="str">
        <f t="shared" si="342"/>
        <v>748,315388573934</v>
      </c>
      <c r="AG385" s="32" t="str">
        <f t="shared" si="324"/>
        <v>1+1462,90246909946i</v>
      </c>
      <c r="AH385" s="32">
        <f t="shared" si="343"/>
        <v>1462.9028108857</v>
      </c>
      <c r="AI385" s="32">
        <f t="shared" si="344"/>
        <v>1.57011275433168</v>
      </c>
      <c r="AJ385" s="32" t="str">
        <f t="shared" si="325"/>
        <v>1+4,60814277766329i</v>
      </c>
      <c r="AK385" s="32">
        <f t="shared" si="345"/>
        <v>4.71539816551374</v>
      </c>
      <c r="AL385" s="32">
        <f t="shared" si="346"/>
        <v>1.35710247702558</v>
      </c>
      <c r="AM385" s="32" t="str">
        <f t="shared" si="326"/>
        <v>1-0,785445128614834i</v>
      </c>
      <c r="AN385" s="32">
        <f t="shared" si="347"/>
        <v>1.27158328475361</v>
      </c>
      <c r="AO385" s="32">
        <f t="shared" si="348"/>
        <v>-0.66580279671664</v>
      </c>
      <c r="AP385" s="30" t="str">
        <f t="shared" si="349"/>
        <v>1,95703074767703-2,36163623192691i</v>
      </c>
      <c r="AQ385" s="32">
        <f t="shared" si="350"/>
        <v>9.73464764938297</v>
      </c>
      <c r="AR385" s="31">
        <f t="shared" si="351"/>
        <v>-50.3522801224209</v>
      </c>
      <c r="AS385" t="str">
        <f t="shared" si="327"/>
        <v>-0,0000504684572142411</v>
      </c>
      <c r="AT385" t="str">
        <f t="shared" si="328"/>
        <v>0,0660363317691926i</v>
      </c>
      <c r="AU385">
        <f t="shared" si="352"/>
        <v>0.0660363317691926</v>
      </c>
      <c r="AV385">
        <f t="shared" si="353"/>
        <v>1.5707963267949</v>
      </c>
      <c r="AW385" t="str">
        <f t="shared" si="329"/>
        <v>1+3,38093906395023i</v>
      </c>
      <c r="AX385">
        <f t="shared" si="354"/>
        <v>3.52572672709396</v>
      </c>
      <c r="AY385">
        <f t="shared" si="355"/>
        <v>1.28321942472309</v>
      </c>
      <c r="AZ385" t="str">
        <f t="shared" si="330"/>
        <v>1+161,637661206301i</v>
      </c>
      <c r="BA385">
        <f t="shared" si="356"/>
        <v>161.640754515199</v>
      </c>
      <c r="BB385">
        <f t="shared" si="357"/>
        <v>1.5646097287304</v>
      </c>
      <c r="BC385" s="30" t="str">
        <f t="shared" si="358"/>
        <v>-0,00972975620866892+0,0336599657357941i</v>
      </c>
      <c r="BD385" s="32">
        <f t="shared" si="359"/>
        <v>-29.1092138157365</v>
      </c>
      <c r="BE385" s="31">
        <f t="shared" si="360"/>
        <v>106.122476815522</v>
      </c>
      <c r="BF385" s="30" t="str">
        <f t="shared" si="361"/>
        <v>0,045533349891646-0,0224285225982974i</v>
      </c>
      <c r="BG385" s="68">
        <f t="shared" si="362"/>
        <v>-25.8899942326737</v>
      </c>
      <c r="BH385" s="31">
        <f t="shared" si="363"/>
        <v>-26.2236363999059</v>
      </c>
      <c r="BI385" s="30" t="str">
        <f t="shared" si="369"/>
        <v>0,0604511625793031+0,0888517327009126i</v>
      </c>
      <c r="BJ385" s="68">
        <f t="shared" si="364"/>
        <v>-19.3745661663536</v>
      </c>
      <c r="BK385" s="31">
        <f t="shared" si="370"/>
        <v>55.7701966931008</v>
      </c>
      <c r="BL385" s="32">
        <f t="shared" si="365"/>
        <v>-25.8899942326737</v>
      </c>
      <c r="BM385" s="31">
        <f t="shared" si="366"/>
        <v>-26.2236363999059</v>
      </c>
      <c r="BO385">
        <f t="shared" si="367"/>
        <v>0</v>
      </c>
      <c r="BP385">
        <f t="shared" si="368"/>
        <v>0</v>
      </c>
    </row>
    <row r="386" spans="14:68">
      <c r="N386" s="7">
        <v>68</v>
      </c>
      <c r="O386" s="18">
        <f t="shared" si="371"/>
        <v>47863.0092322638</v>
      </c>
      <c r="P386" s="86" t="str">
        <f t="shared" si="319"/>
        <v>163,636363636364</v>
      </c>
      <c r="Q386" s="4" t="str">
        <f t="shared" si="320"/>
        <v>1+1837,20008252416i</v>
      </c>
      <c r="R386" s="4">
        <f t="shared" si="331"/>
        <v>1837.2003546774</v>
      </c>
      <c r="S386" s="4">
        <f t="shared" si="332"/>
        <v>1.57025202031965</v>
      </c>
      <c r="T386" s="4" t="str">
        <f t="shared" si="321"/>
        <v>1+4,715480211812i</v>
      </c>
      <c r="U386" s="4">
        <f t="shared" si="333"/>
        <v>4.82034787416744</v>
      </c>
      <c r="V386" s="4">
        <f t="shared" si="334"/>
        <v>1.36182480419111</v>
      </c>
      <c r="W386" t="str">
        <f t="shared" si="322"/>
        <v>1-4,51098234548342i</v>
      </c>
      <c r="X386" s="4">
        <f t="shared" si="335"/>
        <v>4.62049366640223</v>
      </c>
      <c r="Y386" s="4">
        <f t="shared" si="336"/>
        <v>-1.35264299797645</v>
      </c>
      <c r="Z386" t="str">
        <f t="shared" si="323"/>
        <v>0,981299039569243+0,934417771564422i</v>
      </c>
      <c r="AA386" s="4">
        <f t="shared" si="337"/>
        <v>1.35502191010881</v>
      </c>
      <c r="AB386" s="4">
        <f t="shared" si="338"/>
        <v>0.760931127130436</v>
      </c>
      <c r="AC386" s="67" t="str">
        <f t="shared" si="339"/>
        <v>-0,999215355569278-1,06999578737324i</v>
      </c>
      <c r="AD386" s="68">
        <f t="shared" si="340"/>
        <v>3.31087484952966</v>
      </c>
      <c r="AE386" s="31">
        <f t="shared" si="341"/>
        <v>-133.040876876507</v>
      </c>
      <c r="AF386" s="32" t="str">
        <f t="shared" si="342"/>
        <v>748,315388573934</v>
      </c>
      <c r="AG386" s="32" t="str">
        <f t="shared" si="324"/>
        <v>1+1496,97784501968i</v>
      </c>
      <c r="AH386" s="32">
        <f t="shared" si="343"/>
        <v>1496.97817902592</v>
      </c>
      <c r="AI386" s="32">
        <f t="shared" si="344"/>
        <v>1.57012831433594</v>
      </c>
      <c r="AJ386" s="32" t="str">
        <f t="shared" si="325"/>
        <v>1+4,715480211812i</v>
      </c>
      <c r="AK386" s="32">
        <f t="shared" si="345"/>
        <v>4.82034787416744</v>
      </c>
      <c r="AL386" s="32">
        <f t="shared" si="346"/>
        <v>1.36182480419111</v>
      </c>
      <c r="AM386" s="32" t="str">
        <f t="shared" si="326"/>
        <v>1-0,803740495932613i</v>
      </c>
      <c r="AN386" s="32">
        <f t="shared" si="347"/>
        <v>1.28296484160791</v>
      </c>
      <c r="AO386" s="32">
        <f t="shared" si="348"/>
        <v>-0.67701757446946</v>
      </c>
      <c r="AP386" s="30" t="str">
        <f t="shared" si="349"/>
        <v>1,95701505126028-2,39314861832869i</v>
      </c>
      <c r="AQ386" s="32">
        <f t="shared" si="350"/>
        <v>9.80324686100847</v>
      </c>
      <c r="AR386" s="31">
        <f t="shared" si="351"/>
        <v>-50.7251616623438</v>
      </c>
      <c r="AS386" t="str">
        <f t="shared" si="327"/>
        <v>-0,0000504684572142411</v>
      </c>
      <c r="AT386" t="str">
        <f t="shared" si="328"/>
        <v>0,0675745155353415i</v>
      </c>
      <c r="AU386">
        <f t="shared" si="352"/>
        <v>0.0675745155353415</v>
      </c>
      <c r="AV386">
        <f t="shared" si="353"/>
        <v>1.5707963267949</v>
      </c>
      <c r="AW386" t="str">
        <f t="shared" si="329"/>
        <v>1+3,45969125146852i</v>
      </c>
      <c r="AX386">
        <f t="shared" si="354"/>
        <v>3.6013141428495</v>
      </c>
      <c r="AY386">
        <f t="shared" si="355"/>
        <v>1.28942176738628</v>
      </c>
      <c r="AZ386" t="str">
        <f t="shared" si="330"/>
        <v>1+165,402686001058i</v>
      </c>
      <c r="BA386">
        <f t="shared" si="356"/>
        <v>165.405708898951</v>
      </c>
      <c r="BB386">
        <f t="shared" si="357"/>
        <v>1.56475054942369</v>
      </c>
      <c r="BC386" s="30" t="str">
        <f t="shared" si="358"/>
        <v>-0,00932560982939163+0,033010587108943i</v>
      </c>
      <c r="BD386" s="32">
        <f t="shared" si="359"/>
        <v>-29.2934684707569</v>
      </c>
      <c r="BE386" s="31">
        <f t="shared" si="360"/>
        <v>105.775177189221</v>
      </c>
      <c r="BF386" s="30" t="str">
        <f t="shared" si="361"/>
        <v>0,0446394816868623-0,0230063223034776i</v>
      </c>
      <c r="BG386" s="68">
        <f t="shared" si="362"/>
        <v>-25.9825936212272</v>
      </c>
      <c r="BH386" s="31">
        <f t="shared" si="363"/>
        <v>-27.2656996872859</v>
      </c>
      <c r="BI386" s="30" t="str">
        <f t="shared" si="369"/>
        <v>0,0607488821316856+0,0869197861014211i</v>
      </c>
      <c r="BJ386" s="68">
        <f t="shared" si="364"/>
        <v>-19.4902216097484</v>
      </c>
      <c r="BK386" s="31">
        <f t="shared" si="370"/>
        <v>55.050015526877</v>
      </c>
      <c r="BL386" s="32">
        <f t="shared" si="365"/>
        <v>-25.9825936212272</v>
      </c>
      <c r="BM386" s="31">
        <f t="shared" si="366"/>
        <v>-27.2656996872859</v>
      </c>
      <c r="BO386">
        <f t="shared" si="367"/>
        <v>0</v>
      </c>
      <c r="BP386">
        <f t="shared" si="368"/>
        <v>0</v>
      </c>
    </row>
    <row r="387" spans="14:68">
      <c r="N387" s="7">
        <v>69</v>
      </c>
      <c r="O387" s="18">
        <f t="shared" si="371"/>
        <v>48977.8819368446</v>
      </c>
      <c r="P387" s="86" t="str">
        <f t="shared" si="319"/>
        <v>163,636363636364</v>
      </c>
      <c r="Q387" s="4" t="str">
        <f t="shared" si="320"/>
        <v>1+1879,99396986459i</v>
      </c>
      <c r="R387" s="4">
        <f t="shared" si="331"/>
        <v>1879.99423582287</v>
      </c>
      <c r="S387" s="4">
        <f t="shared" si="332"/>
        <v>1.57026441024531</v>
      </c>
      <c r="T387" s="4" t="str">
        <f t="shared" si="321"/>
        <v>1+4,82531785598578i</v>
      </c>
      <c r="U387" s="4">
        <f t="shared" si="333"/>
        <v>4.92784865953645</v>
      </c>
      <c r="V387" s="4">
        <f t="shared" si="334"/>
        <v>1.36644879555187</v>
      </c>
      <c r="W387" t="str">
        <f t="shared" si="322"/>
        <v>1-4,61605662243537i</v>
      </c>
      <c r="X387" s="4">
        <f t="shared" si="335"/>
        <v>4.72313230192946</v>
      </c>
      <c r="Y387" s="4">
        <f t="shared" si="336"/>
        <v>-1.35745781289975</v>
      </c>
      <c r="Z387" t="str">
        <f t="shared" si="323"/>
        <v>0,980417690456984+0,95618315750447i</v>
      </c>
      <c r="AA387" s="4">
        <f t="shared" si="337"/>
        <v>1.36949080992032</v>
      </c>
      <c r="AB387" s="4">
        <f t="shared" si="338"/>
        <v>0.772884863063995</v>
      </c>
      <c r="AC387" s="67" t="str">
        <f t="shared" si="339"/>
        <v>-1,02270974958111-1,06880627568668i</v>
      </c>
      <c r="AD387" s="68">
        <f t="shared" si="340"/>
        <v>3.40103305257169</v>
      </c>
      <c r="AE387" s="31">
        <f t="shared" si="341"/>
        <v>-133.737418770127</v>
      </c>
      <c r="AF387" s="32" t="str">
        <f t="shared" si="342"/>
        <v>748,315388573934</v>
      </c>
      <c r="AG387" s="32" t="str">
        <f t="shared" si="324"/>
        <v>1+1531,84693840818i</v>
      </c>
      <c r="AH387" s="32">
        <f t="shared" si="343"/>
        <v>1531.84726481151</v>
      </c>
      <c r="AI387" s="32">
        <f t="shared" si="344"/>
        <v>1.57014352015157</v>
      </c>
      <c r="AJ387" s="32" t="str">
        <f t="shared" si="325"/>
        <v>1+4,82531785598578i</v>
      </c>
      <c r="AK387" s="32">
        <f t="shared" si="345"/>
        <v>4.92784865953645</v>
      </c>
      <c r="AL387" s="32">
        <f t="shared" si="346"/>
        <v>1.36644879555187</v>
      </c>
      <c r="AM387" s="32" t="str">
        <f t="shared" si="326"/>
        <v>1-0,822462017100099i</v>
      </c>
      <c r="AN387" s="32">
        <f t="shared" si="347"/>
        <v>1.29477556725958</v>
      </c>
      <c r="AO387" s="32">
        <f t="shared" si="348"/>
        <v>-0.688288019803692</v>
      </c>
      <c r="AP387" s="30" t="str">
        <f t="shared" si="349"/>
        <v>1,95700006129805-2,42592988286086i</v>
      </c>
      <c r="AQ387" s="32">
        <f t="shared" si="350"/>
        <v>9.87442136013507</v>
      </c>
      <c r="AR387" s="31">
        <f t="shared" si="351"/>
        <v>-51.1068466528107</v>
      </c>
      <c r="AS387" t="str">
        <f t="shared" si="327"/>
        <v>-0,0000504684572142411</v>
      </c>
      <c r="AT387" t="str">
        <f t="shared" si="328"/>
        <v>0,0691485282040819i</v>
      </c>
      <c r="AU387">
        <f t="shared" si="352"/>
        <v>0.0691485282040819</v>
      </c>
      <c r="AV387">
        <f t="shared" si="353"/>
        <v>1.5707963267949</v>
      </c>
      <c r="AW387" t="str">
        <f t="shared" si="329"/>
        <v>1+3,54027781308276i</v>
      </c>
      <c r="AX387">
        <f t="shared" si="354"/>
        <v>3.67879966752826</v>
      </c>
      <c r="AY387">
        <f t="shared" si="355"/>
        <v>1.2955044920596</v>
      </c>
      <c r="AZ387" t="str">
        <f t="shared" si="330"/>
        <v>1+169,255409489297i</v>
      </c>
      <c r="BA387">
        <f t="shared" si="356"/>
        <v>169.258363578848</v>
      </c>
      <c r="BB387">
        <f t="shared" si="357"/>
        <v>1.56488816487835</v>
      </c>
      <c r="BC387" s="30" t="str">
        <f t="shared" si="358"/>
        <v>-0,00893690162174897+0,0323689703702961i</v>
      </c>
      <c r="BD387" s="32">
        <f t="shared" si="359"/>
        <v>-29.4783782553083</v>
      </c>
      <c r="BE387" s="31">
        <f t="shared" si="360"/>
        <v>105.434547522247</v>
      </c>
      <c r="BF387" s="30" t="str">
        <f t="shared" si="361"/>
        <v>0,0437360150888986-0,0235522450430841i</v>
      </c>
      <c r="BG387" s="68">
        <f t="shared" si="362"/>
        <v>-26.0773452027366</v>
      </c>
      <c r="BH387" s="31">
        <f t="shared" si="363"/>
        <v>-28.3028712478796</v>
      </c>
      <c r="BI387" s="30" t="str">
        <f t="shared" si="369"/>
        <v>0,0610353354771617+0,0850263737032127i</v>
      </c>
      <c r="BJ387" s="68">
        <f t="shared" si="364"/>
        <v>-19.6039568951732</v>
      </c>
      <c r="BK387" s="31">
        <f t="shared" si="370"/>
        <v>54.3277008694365</v>
      </c>
      <c r="BL387" s="32">
        <f t="shared" si="365"/>
        <v>-26.0773452027366</v>
      </c>
      <c r="BM387" s="31">
        <f t="shared" si="366"/>
        <v>-28.3028712478796</v>
      </c>
      <c r="BO387">
        <f t="shared" si="367"/>
        <v>0</v>
      </c>
      <c r="BP387">
        <f t="shared" si="368"/>
        <v>0</v>
      </c>
    </row>
    <row r="388" spans="14:68">
      <c r="N388" s="7">
        <v>70</v>
      </c>
      <c r="O388" s="18">
        <f t="shared" si="371"/>
        <v>50118.7233627273</v>
      </c>
      <c r="P388" s="86" t="str">
        <f t="shared" si="319"/>
        <v>163,636363636364</v>
      </c>
      <c r="Q388" s="4" t="str">
        <f t="shared" si="320"/>
        <v>1+1923,78465489251i</v>
      </c>
      <c r="R388" s="4">
        <f t="shared" si="331"/>
        <v>1923.78491479684</v>
      </c>
      <c r="S388" s="4">
        <f t="shared" si="332"/>
        <v>1.57027651814199</v>
      </c>
      <c r="T388" s="4" t="str">
        <f t="shared" si="321"/>
        <v>1+4,93771394755745i</v>
      </c>
      <c r="U388" s="4">
        <f t="shared" si="333"/>
        <v>5.03795782315646</v>
      </c>
      <c r="V388" s="4">
        <f t="shared" si="334"/>
        <v>1.37097611150412</v>
      </c>
      <c r="W388" t="str">
        <f t="shared" si="322"/>
        <v>1-4,7235783937093i</v>
      </c>
      <c r="X388" s="4">
        <f t="shared" si="335"/>
        <v>4.82827017072547</v>
      </c>
      <c r="Y388" s="4">
        <f t="shared" si="336"/>
        <v>-1.36217275479233</v>
      </c>
      <c r="Z388" t="str">
        <f t="shared" si="323"/>
        <v>0,979494804640738+0,97845552441121i</v>
      </c>
      <c r="AA388" s="4">
        <f t="shared" si="337"/>
        <v>1.3844801499368</v>
      </c>
      <c r="AB388" s="4">
        <f t="shared" si="338"/>
        <v>0.784867363347773</v>
      </c>
      <c r="AC388" s="67" t="str">
        <f t="shared" si="339"/>
        <v>-1,04627462290373-1,06710042157001i</v>
      </c>
      <c r="AD388" s="68">
        <f t="shared" si="340"/>
        <v>3.48965324898789</v>
      </c>
      <c r="AE388" s="31">
        <f t="shared" si="341"/>
        <v>-134.435409370289</v>
      </c>
      <c r="AF388" s="32" t="str">
        <f t="shared" si="342"/>
        <v>748,315388573934</v>
      </c>
      <c r="AG388" s="32" t="str">
        <f t="shared" si="324"/>
        <v>1+1567,52823731982i</v>
      </c>
      <c r="AH388" s="32">
        <f t="shared" si="343"/>
        <v>1567.52855629331</v>
      </c>
      <c r="AI388" s="32">
        <f t="shared" si="344"/>
        <v>1.57015837984087</v>
      </c>
      <c r="AJ388" s="32" t="str">
        <f t="shared" si="325"/>
        <v>1+4,93771394755745i</v>
      </c>
      <c r="AK388" s="32">
        <f t="shared" si="345"/>
        <v>5.03795782315646</v>
      </c>
      <c r="AL388" s="32">
        <f t="shared" si="346"/>
        <v>1.37097611150412</v>
      </c>
      <c r="AM388" s="32" t="str">
        <f t="shared" si="326"/>
        <v>1-0,841619618515627i</v>
      </c>
      <c r="AN388" s="32">
        <f t="shared" si="347"/>
        <v>1.30702853154412</v>
      </c>
      <c r="AO388" s="32">
        <f t="shared" si="348"/>
        <v>-0.699608656313635</v>
      </c>
      <c r="AP388" s="30" t="str">
        <f t="shared" si="349"/>
        <v>1,95698574599469-2,45999740664684i</v>
      </c>
      <c r="AQ388" s="32">
        <f t="shared" si="350"/>
        <v>9.94817620727078</v>
      </c>
      <c r="AR388" s="31">
        <f t="shared" si="351"/>
        <v>-51.4969266471281</v>
      </c>
      <c r="AS388" t="str">
        <f t="shared" si="327"/>
        <v>-0,0000504684572142411</v>
      </c>
      <c r="AT388" t="str">
        <f t="shared" si="328"/>
        <v>0,0707592043377653i</v>
      </c>
      <c r="AU388">
        <f t="shared" si="352"/>
        <v>0.0707592043377653</v>
      </c>
      <c r="AV388">
        <f t="shared" si="353"/>
        <v>1.5707963267949</v>
      </c>
      <c r="AW388" t="str">
        <f t="shared" si="329"/>
        <v>1+3,62274147685463i</v>
      </c>
      <c r="AX388">
        <f t="shared" si="354"/>
        <v>3.75822508747452</v>
      </c>
      <c r="AY388">
        <f t="shared" si="355"/>
        <v>1.30146902271906</v>
      </c>
      <c r="AZ388" t="str">
        <f t="shared" si="330"/>
        <v>1+173,197874436007i</v>
      </c>
      <c r="BA388">
        <f t="shared" si="356"/>
        <v>173.200761283404</v>
      </c>
      <c r="BB388">
        <f t="shared" si="357"/>
        <v>1.56502264803906</v>
      </c>
      <c r="BC388" s="30" t="str">
        <f t="shared" si="358"/>
        <v>-0,00856315252697679+0,0317353301259808i</v>
      </c>
      <c r="BD388" s="32">
        <f t="shared" si="359"/>
        <v>-29.6639180527731</v>
      </c>
      <c r="BE388" s="31">
        <f t="shared" si="360"/>
        <v>105.100510406208</v>
      </c>
      <c r="BF388" s="30" t="str">
        <f t="shared" si="361"/>
        <v>0,0428241933371273-0,0240661268887807i</v>
      </c>
      <c r="BG388" s="68">
        <f t="shared" si="362"/>
        <v>-26.1742648037852</v>
      </c>
      <c r="BH388" s="31">
        <f t="shared" si="363"/>
        <v>-29.3348989640805</v>
      </c>
      <c r="BI388" s="30" t="str">
        <f t="shared" si="369"/>
        <v>0,0613108623729221+0,0831709217100645i</v>
      </c>
      <c r="BJ388" s="68">
        <f t="shared" si="364"/>
        <v>-19.7157418455023</v>
      </c>
      <c r="BK388" s="31">
        <f t="shared" si="370"/>
        <v>53.6035837590803</v>
      </c>
      <c r="BL388" s="32">
        <f t="shared" si="365"/>
        <v>-26.1742648037852</v>
      </c>
      <c r="BM388" s="31">
        <f t="shared" si="366"/>
        <v>-29.3348989640805</v>
      </c>
      <c r="BO388">
        <f t="shared" si="367"/>
        <v>0</v>
      </c>
      <c r="BP388">
        <f t="shared" si="368"/>
        <v>0</v>
      </c>
    </row>
    <row r="389" spans="14:68">
      <c r="N389" s="7">
        <v>71</v>
      </c>
      <c r="O389" s="18">
        <f t="shared" si="371"/>
        <v>51286.1383991365</v>
      </c>
      <c r="P389" s="86" t="str">
        <f t="shared" si="319"/>
        <v>163,636363636364</v>
      </c>
      <c r="Q389" s="4" t="str">
        <f t="shared" si="320"/>
        <v>1+1968,59535600876i</v>
      </c>
      <c r="R389" s="4">
        <f t="shared" si="331"/>
        <v>1968.59560999695</v>
      </c>
      <c r="S389" s="4">
        <f t="shared" si="332"/>
        <v>1.57028835042945</v>
      </c>
      <c r="T389" s="4" t="str">
        <f t="shared" si="321"/>
        <v>1+5,05272808042247i</v>
      </c>
      <c r="U389" s="4">
        <f t="shared" si="333"/>
        <v>5.15073403066881</v>
      </c>
      <c r="V389" s="4">
        <f t="shared" si="334"/>
        <v>1.37540840978404</v>
      </c>
      <c r="W389" t="str">
        <f t="shared" si="322"/>
        <v>1-4,8336046687715i</v>
      </c>
      <c r="X389" s="4">
        <f t="shared" si="335"/>
        <v>4.93596334001476</v>
      </c>
      <c r="Y389" s="4">
        <f t="shared" si="336"/>
        <v>-1.36678948465953</v>
      </c>
      <c r="Z389" t="str">
        <f t="shared" si="323"/>
        <v>0,978528424555956+1,00124668138838i</v>
      </c>
      <c r="AA389" s="4">
        <f t="shared" si="337"/>
        <v>1.40000456951226</v>
      </c>
      <c r="AB389" s="4">
        <f t="shared" si="338"/>
        <v>0.796872830225249</v>
      </c>
      <c r="AC389" s="67" t="str">
        <f t="shared" si="339"/>
        <v>-1,06988509758584-1,06487317689576i</v>
      </c>
      <c r="AD389" s="68">
        <f t="shared" si="340"/>
        <v>3.57669809349379</v>
      </c>
      <c r="AE389" s="31">
        <f t="shared" si="341"/>
        <v>-135.134517045146</v>
      </c>
      <c r="AF389" s="32" t="str">
        <f t="shared" si="342"/>
        <v>748,315388573934</v>
      </c>
      <c r="AG389" s="32" t="str">
        <f t="shared" si="324"/>
        <v>1+1604,04066045158i</v>
      </c>
      <c r="AH389" s="32">
        <f t="shared" si="343"/>
        <v>1604.04097216435</v>
      </c>
      <c r="AI389" s="32">
        <f t="shared" si="344"/>
        <v>1.57017290128262</v>
      </c>
      <c r="AJ389" s="32" t="str">
        <f t="shared" si="325"/>
        <v>1+5,05272808042247i</v>
      </c>
      <c r="AK389" s="32">
        <f t="shared" si="345"/>
        <v>5.15073403066881</v>
      </c>
      <c r="AL389" s="32">
        <f t="shared" si="346"/>
        <v>1.37540840978404</v>
      </c>
      <c r="AM389" s="32" t="str">
        <f t="shared" si="326"/>
        <v>1-0,861223457793042i</v>
      </c>
      <c r="AN389" s="32">
        <f t="shared" si="347"/>
        <v>1.31973703602384</v>
      </c>
      <c r="AO389" s="32">
        <f t="shared" si="348"/>
        <v>-0.710973880587959</v>
      </c>
      <c r="AP389" s="30" t="str">
        <f t="shared" si="349"/>
        <v>1,95697207498559-2,49536925279745i</v>
      </c>
      <c r="AQ389" s="32">
        <f t="shared" si="350"/>
        <v>10.0245149646783</v>
      </c>
      <c r="AR389" s="31">
        <f t="shared" si="351"/>
        <v>-51.8949860636087</v>
      </c>
      <c r="AS389" t="str">
        <f t="shared" si="327"/>
        <v>-0,0000504684572142411</v>
      </c>
      <c r="AT389" t="str">
        <f t="shared" si="328"/>
        <v>0,072407397938197i</v>
      </c>
      <c r="AU389">
        <f t="shared" si="352"/>
        <v>0.072407397938197</v>
      </c>
      <c r="AV389">
        <f t="shared" si="353"/>
        <v>1.5707963267949</v>
      </c>
      <c r="AW389" t="str">
        <f t="shared" si="329"/>
        <v>1+3,70712596611017i</v>
      </c>
      <c r="AX389">
        <f t="shared" si="354"/>
        <v>3.83963317630842</v>
      </c>
      <c r="AY389">
        <f t="shared" si="355"/>
        <v>1.3073168236294</v>
      </c>
      <c r="AZ389" t="str">
        <f t="shared" si="330"/>
        <v>1+177,232171188288i</v>
      </c>
      <c r="BA389">
        <f t="shared" si="356"/>
        <v>177.234992324074</v>
      </c>
      <c r="BB389">
        <f t="shared" si="357"/>
        <v>1.56515407019111</v>
      </c>
      <c r="BC389" s="30" t="str">
        <f t="shared" si="358"/>
        <v>-0,00820388914363619+0,0311098573845921i</v>
      </c>
      <c r="BD389" s="32">
        <f t="shared" si="359"/>
        <v>-29.8500635334626</v>
      </c>
      <c r="BE389" s="31">
        <f t="shared" si="360"/>
        <v>104.77298602926</v>
      </c>
      <c r="BF389" s="30" t="str">
        <f t="shared" si="361"/>
        <v>0,0419052714029272-0,0245478713085114i</v>
      </c>
      <c r="BG389" s="68">
        <f t="shared" si="362"/>
        <v>-26.2733654399688</v>
      </c>
      <c r="BH389" s="31">
        <f t="shared" si="363"/>
        <v>-30.3615310158857</v>
      </c>
      <c r="BI389" s="30" t="str">
        <f t="shared" si="369"/>
        <v>0,0615757996160513+0,0813528548808195i</v>
      </c>
      <c r="BJ389" s="68">
        <f t="shared" si="364"/>
        <v>-19.8255485687843</v>
      </c>
      <c r="BK389" s="31">
        <f t="shared" si="370"/>
        <v>52.8779999656512</v>
      </c>
      <c r="BL389" s="32">
        <f t="shared" si="365"/>
        <v>-26.2733654399688</v>
      </c>
      <c r="BM389" s="31">
        <f t="shared" si="366"/>
        <v>-30.3615310158857</v>
      </c>
      <c r="BO389">
        <f t="shared" si="367"/>
        <v>0</v>
      </c>
      <c r="BP389">
        <f t="shared" si="368"/>
        <v>0</v>
      </c>
    </row>
    <row r="390" spans="14:68">
      <c r="N390" s="7">
        <v>72</v>
      </c>
      <c r="O390" s="18">
        <f t="shared" si="371"/>
        <v>52480.7460249773</v>
      </c>
      <c r="P390" s="86" t="str">
        <f t="shared" si="319"/>
        <v>163,636363636364</v>
      </c>
      <c r="Q390" s="4" t="str">
        <f t="shared" si="320"/>
        <v>1+2014,4498324402i</v>
      </c>
      <c r="R390" s="4">
        <f t="shared" si="331"/>
        <v>2014.45008064691</v>
      </c>
      <c r="S390" s="4">
        <f t="shared" si="332"/>
        <v>1.57029991338129</v>
      </c>
      <c r="T390" s="4" t="str">
        <f t="shared" si="321"/>
        <v>1+5,17042123659651i</v>
      </c>
      <c r="U390" s="4">
        <f t="shared" si="333"/>
        <v>5.26623734404823</v>
      </c>
      <c r="V390" s="4">
        <f t="shared" si="334"/>
        <v>1.37974734353364</v>
      </c>
      <c r="W390" t="str">
        <f t="shared" si="322"/>
        <v>1-4,94619378500942i</v>
      </c>
      <c r="X390" s="4">
        <f t="shared" si="335"/>
        <v>5.04626921188969</v>
      </c>
      <c r="Y390" s="4">
        <f t="shared" si="336"/>
        <v>-1.37130966276931</v>
      </c>
      <c r="Z390" t="str">
        <f t="shared" si="323"/>
        <v>0,977516500380913+1,02456871260909i</v>
      </c>
      <c r="AA390" s="4">
        <f t="shared" si="337"/>
        <v>1.41607893684441</v>
      </c>
      <c r="AB390" s="4">
        <f t="shared" si="338"/>
        <v>0.808895441176983</v>
      </c>
      <c r="AC390" s="67" t="str">
        <f t="shared" si="339"/>
        <v>-1,09351608938465-1,06212093213603i</v>
      </c>
      <c r="AD390" s="68">
        <f t="shared" si="340"/>
        <v>3.66213382877923</v>
      </c>
      <c r="AE390" s="31">
        <f t="shared" si="341"/>
        <v>-135.834408956646</v>
      </c>
      <c r="AF390" s="32" t="str">
        <f t="shared" si="342"/>
        <v>748,315388573934</v>
      </c>
      <c r="AG390" s="32" t="str">
        <f t="shared" si="324"/>
        <v>1+1641,4035671735i</v>
      </c>
      <c r="AH390" s="32">
        <f t="shared" si="343"/>
        <v>1641.40387179082</v>
      </c>
      <c r="AI390" s="32">
        <f t="shared" si="344"/>
        <v>1.57018709217626</v>
      </c>
      <c r="AJ390" s="32" t="str">
        <f t="shared" si="325"/>
        <v>1+5,17042123659651i</v>
      </c>
      <c r="AK390" s="32">
        <f t="shared" si="345"/>
        <v>5.26623734404823</v>
      </c>
      <c r="AL390" s="32">
        <f t="shared" si="346"/>
        <v>1.37974734353364</v>
      </c>
      <c r="AM390" s="32" t="str">
        <f t="shared" si="326"/>
        <v>1-0,881283929147421i</v>
      </c>
      <c r="AN390" s="32">
        <f t="shared" si="347"/>
        <v>1.33291461233401</v>
      </c>
      <c r="AO390" s="32">
        <f t="shared" si="348"/>
        <v>-0.72237797524259</v>
      </c>
      <c r="AP390" s="30" t="str">
        <f t="shared" si="349"/>
        <v>1,95695901927279-2,53206417598864i</v>
      </c>
      <c r="AQ390" s="32">
        <f t="shared" si="350"/>
        <v>10.1034396042011</v>
      </c>
      <c r="AR390" s="31">
        <f t="shared" si="351"/>
        <v>-52.3006030433608</v>
      </c>
      <c r="AS390" t="str">
        <f t="shared" si="327"/>
        <v>-0,0000504684572142411</v>
      </c>
      <c r="AT390" t="str">
        <f t="shared" si="328"/>
        <v>0,074093982899441i</v>
      </c>
      <c r="AU390">
        <f t="shared" si="352"/>
        <v>0.074093982899441</v>
      </c>
      <c r="AV390">
        <f t="shared" si="353"/>
        <v>1.5707963267949</v>
      </c>
      <c r="AW390" t="str">
        <f t="shared" si="329"/>
        <v>1+3,79347602262256i</v>
      </c>
      <c r="AX390">
        <f t="shared" si="354"/>
        <v>3.92306771980962</v>
      </c>
      <c r="AY390">
        <f t="shared" si="355"/>
        <v>1.31304939491924</v>
      </c>
      <c r="AZ390" t="str">
        <f t="shared" si="330"/>
        <v>1+181,360438783678i</v>
      </c>
      <c r="BA390">
        <f t="shared" si="356"/>
        <v>181.363195703561</v>
      </c>
      <c r="BB390">
        <f t="shared" si="357"/>
        <v>1.56528250099808</v>
      </c>
      <c r="BC390" s="30" t="str">
        <f t="shared" si="358"/>
        <v>-0,00785864452320066+0,030492720671758i</v>
      </c>
      <c r="BD390" s="32">
        <f t="shared" si="359"/>
        <v>-30.036791144622</v>
      </c>
      <c r="BE390" s="31">
        <f t="shared" si="360"/>
        <v>104.451892431793</v>
      </c>
      <c r="BF390" s="30" t="str">
        <f t="shared" si="361"/>
        <v>0,0409805111301257-0,0249974498173717i</v>
      </c>
      <c r="BG390" s="68">
        <f t="shared" si="362"/>
        <v>-26.3746573158427</v>
      </c>
      <c r="BH390" s="31">
        <f t="shared" si="363"/>
        <v>-31.3825165248532</v>
      </c>
      <c r="BI390" s="30" t="str">
        <f t="shared" si="369"/>
        <v>0,0618304803624505+0,0795715970097884i</v>
      </c>
      <c r="BJ390" s="68">
        <f t="shared" si="364"/>
        <v>-19.9333515404208</v>
      </c>
      <c r="BK390" s="31">
        <f t="shared" si="370"/>
        <v>52.151289388432</v>
      </c>
      <c r="BL390" s="32">
        <f t="shared" si="365"/>
        <v>-26.3746573158427</v>
      </c>
      <c r="BM390" s="31">
        <f t="shared" si="366"/>
        <v>-31.3825165248532</v>
      </c>
      <c r="BO390">
        <f t="shared" si="367"/>
        <v>0</v>
      </c>
      <c r="BP390">
        <f t="shared" si="368"/>
        <v>0</v>
      </c>
    </row>
    <row r="391" spans="14:68">
      <c r="N391" s="7">
        <v>73</v>
      </c>
      <c r="O391" s="18">
        <f t="shared" si="371"/>
        <v>53703.1796370254</v>
      </c>
      <c r="P391" s="86" t="str">
        <f t="shared" si="319"/>
        <v>163,636363636364</v>
      </c>
      <c r="Q391" s="4" t="str">
        <f t="shared" si="320"/>
        <v>1+2061,3723968372i</v>
      </c>
      <c r="R391" s="4">
        <f t="shared" si="331"/>
        <v>2061.37263939404</v>
      </c>
      <c r="S391" s="4">
        <f t="shared" si="332"/>
        <v>1.57031121312835</v>
      </c>
      <c r="T391" s="4" t="str">
        <f t="shared" si="321"/>
        <v>1+5,29085581854881i</v>
      </c>
      <c r="U391" s="4">
        <f t="shared" si="333"/>
        <v>5.38452925450979</v>
      </c>
      <c r="V391" s="4">
        <f t="shared" si="334"/>
        <v>1.383994559509</v>
      </c>
      <c r="W391" t="str">
        <f t="shared" si="322"/>
        <v>1-5,06140543866277i</v>
      </c>
      <c r="X391" s="4">
        <f t="shared" si="335"/>
        <v>5.1592465549269</v>
      </c>
      <c r="Y391" s="4">
        <f t="shared" si="336"/>
        <v>-1.37573494658041</v>
      </c>
      <c r="Z391" t="str">
        <f t="shared" si="323"/>
        <v>0,976456885688762+1,048433983723i</v>
      </c>
      <c r="AA391" s="4">
        <f t="shared" si="337"/>
        <v>1.43271834909527</v>
      </c>
      <c r="AB391" s="4">
        <f t="shared" si="338"/>
        <v>0.820929365112085</v>
      </c>
      <c r="AC391" s="67" t="str">
        <f t="shared" si="339"/>
        <v>-1,11714241293104-1,05884152862848i</v>
      </c>
      <c r="AD391" s="68">
        <f t="shared" si="340"/>
        <v>3.74593026538639</v>
      </c>
      <c r="AE391" s="31">
        <f t="shared" si="341"/>
        <v>-136.534751972379</v>
      </c>
      <c r="AF391" s="32" t="str">
        <f t="shared" si="342"/>
        <v>748,315388573934</v>
      </c>
      <c r="AG391" s="32" t="str">
        <f t="shared" si="324"/>
        <v>1+1679,63676779327i</v>
      </c>
      <c r="AH391" s="32">
        <f t="shared" si="343"/>
        <v>1679.63706547665</v>
      </c>
      <c r="AI391" s="32">
        <f t="shared" si="344"/>
        <v>1.57020096004595</v>
      </c>
      <c r="AJ391" s="32" t="str">
        <f t="shared" si="325"/>
        <v>1+5,29085581854881i</v>
      </c>
      <c r="AK391" s="32">
        <f t="shared" si="345"/>
        <v>5.38452925450979</v>
      </c>
      <c r="AL391" s="32">
        <f t="shared" si="346"/>
        <v>1.383994559509</v>
      </c>
      <c r="AM391" s="32" t="str">
        <f t="shared" si="326"/>
        <v>1-0,901811668906206i</v>
      </c>
      <c r="AN391" s="32">
        <f t="shared" si="347"/>
        <v>1.34657502062655</v>
      </c>
      <c r="AO391" s="32">
        <f t="shared" si="348"/>
        <v>-0.733815122651841</v>
      </c>
      <c r="AP391" s="30" t="str">
        <f t="shared" si="349"/>
        <v>1,95694655116345-2,57010163240561i</v>
      </c>
      <c r="AQ391" s="32">
        <f t="shared" si="350"/>
        <v>10.1849504230513</v>
      </c>
      <c r="AR391" s="31">
        <f t="shared" si="351"/>
        <v>-52.713350339915</v>
      </c>
      <c r="AS391" t="str">
        <f t="shared" si="327"/>
        <v>-0,0000504684572142411</v>
      </c>
      <c r="AT391" t="str">
        <f t="shared" si="328"/>
        <v>0,0758198534711681i</v>
      </c>
      <c r="AU391">
        <f t="shared" si="352"/>
        <v>0.0758198534711681</v>
      </c>
      <c r="AV391">
        <f t="shared" si="353"/>
        <v>1.5707963267949</v>
      </c>
      <c r="AW391" t="str">
        <f t="shared" si="329"/>
        <v>1+3,88183743033474i</v>
      </c>
      <c r="AX391">
        <f t="shared" si="354"/>
        <v>4.0085735412423</v>
      </c>
      <c r="AY391">
        <f t="shared" si="355"/>
        <v>1.31866826836857</v>
      </c>
      <c r="AZ391" t="str">
        <f t="shared" si="330"/>
        <v>1+185,584866084301i</v>
      </c>
      <c r="BA391">
        <f t="shared" si="356"/>
        <v>185.587560249948</v>
      </c>
      <c r="BB391">
        <f t="shared" si="357"/>
        <v>1.56540800853873</v>
      </c>
      <c r="BC391" s="30" t="str">
        <f t="shared" si="358"/>
        <v>-0,00752695887515829+0,0298840671364437i</v>
      </c>
      <c r="BD391" s="32">
        <f t="shared" si="359"/>
        <v>-30.2240780991939</v>
      </c>
      <c r="BE391" s="31">
        <f t="shared" si="360"/>
        <v>104.137145749905</v>
      </c>
      <c r="BF391" s="30" t="str">
        <f t="shared" si="361"/>
        <v>0,0400511763282152-0,0254149022277036i</v>
      </c>
      <c r="BG391" s="68">
        <f t="shared" si="362"/>
        <v>-26.4781478338075</v>
      </c>
      <c r="BH391" s="31">
        <f t="shared" si="363"/>
        <v>-32.3976062224744</v>
      </c>
      <c r="BI391" s="30" t="str">
        <f t="shared" si="369"/>
        <v>0,0620752335188027+0,0778265714094947i</v>
      </c>
      <c r="BJ391" s="68">
        <f t="shared" si="364"/>
        <v>-20.0391276761426</v>
      </c>
      <c r="BK391" s="31">
        <f t="shared" si="370"/>
        <v>51.4237954099897</v>
      </c>
      <c r="BL391" s="32">
        <f t="shared" si="365"/>
        <v>-26.4781478338075</v>
      </c>
      <c r="BM391" s="31">
        <f t="shared" si="366"/>
        <v>-32.3976062224744</v>
      </c>
      <c r="BO391">
        <f t="shared" si="367"/>
        <v>0</v>
      </c>
      <c r="BP391">
        <f t="shared" si="368"/>
        <v>0</v>
      </c>
    </row>
    <row r="392" spans="14:68">
      <c r="N392" s="7">
        <v>74</v>
      </c>
      <c r="O392" s="18">
        <f t="shared" si="371"/>
        <v>54954.0873857625</v>
      </c>
      <c r="P392" s="86" t="str">
        <f t="shared" si="319"/>
        <v>163,636363636364</v>
      </c>
      <c r="Q392" s="4" t="str">
        <f t="shared" si="320"/>
        <v>1+2109,38792816448i</v>
      </c>
      <c r="R392" s="4">
        <f t="shared" si="331"/>
        <v>2109.38816520005</v>
      </c>
      <c r="S392" s="4">
        <f t="shared" si="332"/>
        <v>1.57032225566188</v>
      </c>
      <c r="T392" s="4" t="str">
        <f t="shared" si="321"/>
        <v>1+5,41409568228884i</v>
      </c>
      <c r="U392" s="4">
        <f t="shared" si="333"/>
        <v>5.5056727161155</v>
      </c>
      <c r="V392" s="4">
        <f t="shared" si="334"/>
        <v>1.38815169642456</v>
      </c>
      <c r="W392" t="str">
        <f t="shared" si="322"/>
        <v>1-5,1793007164753i</v>
      </c>
      <c r="X392" s="4">
        <f t="shared" si="335"/>
        <v>5.27495553646489</v>
      </c>
      <c r="Y392" s="4">
        <f t="shared" si="336"/>
        <v>-1.38006698881902</v>
      </c>
      <c r="Z392" t="str">
        <f t="shared" si="323"/>
        <v>0,975347332894677+1,07285514841274i</v>
      </c>
      <c r="AA392" s="4">
        <f t="shared" si="337"/>
        <v>1.44993813290791</v>
      </c>
      <c r="AB392" s="4">
        <f t="shared" si="338"/>
        <v>0.832968778657124</v>
      </c>
      <c r="AC392" s="67" t="str">
        <f t="shared" si="339"/>
        <v>-1,14073888775081-1,0550342615748i</v>
      </c>
      <c r="AD392" s="68">
        <f t="shared" si="340"/>
        <v>3.82806075138445</v>
      </c>
      <c r="AE392" s="31">
        <f t="shared" si="341"/>
        <v>-137.235213583714</v>
      </c>
      <c r="AF392" s="32" t="str">
        <f t="shared" si="342"/>
        <v>748,315388573934</v>
      </c>
      <c r="AG392" s="32" t="str">
        <f t="shared" si="324"/>
        <v>1+1718,76053405995i</v>
      </c>
      <c r="AH392" s="32">
        <f t="shared" si="343"/>
        <v>1718.76082496723</v>
      </c>
      <c r="AI392" s="32">
        <f t="shared" si="344"/>
        <v>1.57021451224462</v>
      </c>
      <c r="AJ392" s="32" t="str">
        <f t="shared" si="325"/>
        <v>1+5,41409568228884i</v>
      </c>
      <c r="AK392" s="32">
        <f t="shared" si="345"/>
        <v>5.5056727161155</v>
      </c>
      <c r="AL392" s="32">
        <f t="shared" si="346"/>
        <v>1.38815169642456</v>
      </c>
      <c r="AM392" s="32" t="str">
        <f t="shared" si="326"/>
        <v>1-0,922817561148731i</v>
      </c>
      <c r="AN392" s="32">
        <f t="shared" si="347"/>
        <v>1.36073224815336</v>
      </c>
      <c r="AO392" s="32">
        <f t="shared" si="348"/>
        <v>-0.745279419301802</v>
      </c>
      <c r="AP392" s="30" t="str">
        <f t="shared" si="349"/>
        <v>1,95693464421107-2,60950179005901i</v>
      </c>
      <c r="AQ392" s="32">
        <f t="shared" si="350"/>
        <v>10.2690459681783</v>
      </c>
      <c r="AR392" s="31">
        <f t="shared" si="351"/>
        <v>-53.1327962367108</v>
      </c>
      <c r="AS392" t="str">
        <f t="shared" si="327"/>
        <v>-0,0000504684572142411</v>
      </c>
      <c r="AT392" t="str">
        <f t="shared" si="328"/>
        <v>0,0775859247327998i</v>
      </c>
      <c r="AU392">
        <f t="shared" si="352"/>
        <v>0.0775859247327998</v>
      </c>
      <c r="AV392">
        <f t="shared" si="353"/>
        <v>1.5707963267949</v>
      </c>
      <c r="AW392" t="str">
        <f t="shared" si="329"/>
        <v>1+3,97225703963466i</v>
      </c>
      <c r="AX392">
        <f t="shared" si="354"/>
        <v>4.09619652713674</v>
      </c>
      <c r="AY392">
        <f t="shared" si="355"/>
        <v>1.32417500340649</v>
      </c>
      <c r="AZ392" t="str">
        <f t="shared" si="330"/>
        <v>1+189,907692937427i</v>
      </c>
      <c r="BA392">
        <f t="shared" si="356"/>
        <v>189.910325777236</v>
      </c>
      <c r="BB392">
        <f t="shared" si="357"/>
        <v>1.565530659343</v>
      </c>
      <c r="BC392" s="30" t="str">
        <f t="shared" si="358"/>
        <v>-0,00720838018671934+0,029284023644155i</v>
      </c>
      <c r="BD392" s="32">
        <f t="shared" si="359"/>
        <v>-30.4119023634863</v>
      </c>
      <c r="BE392" s="31">
        <f t="shared" si="360"/>
        <v>103.828660446774</v>
      </c>
      <c r="BF392" s="30" t="str">
        <f t="shared" si="361"/>
        <v>0,0391185278580332-0,0258003364932559i</v>
      </c>
      <c r="BG392" s="68">
        <f t="shared" si="362"/>
        <v>-26.5838416121018</v>
      </c>
      <c r="BH392" s="31">
        <f t="shared" si="363"/>
        <v>-33.4065531369401</v>
      </c>
      <c r="BI392" s="30" t="str">
        <f t="shared" si="369"/>
        <v>0,0623103832035171+0,076117201391813i</v>
      </c>
      <c r="BJ392" s="68">
        <f t="shared" si="364"/>
        <v>-20.142856395308</v>
      </c>
      <c r="BK392" s="31">
        <f t="shared" si="370"/>
        <v>50.6958642100628</v>
      </c>
      <c r="BL392" s="32">
        <f t="shared" si="365"/>
        <v>-26.5838416121018</v>
      </c>
      <c r="BM392" s="31">
        <f t="shared" si="366"/>
        <v>-33.4065531369401</v>
      </c>
      <c r="BO392">
        <f t="shared" si="367"/>
        <v>0</v>
      </c>
      <c r="BP392">
        <f t="shared" si="368"/>
        <v>0</v>
      </c>
    </row>
    <row r="393" spans="14:68">
      <c r="N393" s="7">
        <v>75</v>
      </c>
      <c r="O393" s="18">
        <f t="shared" si="371"/>
        <v>56234.132519035</v>
      </c>
      <c r="P393" s="86" t="str">
        <f t="shared" si="319"/>
        <v>163,636363636364</v>
      </c>
      <c r="Q393" s="4" t="str">
        <f t="shared" si="320"/>
        <v>1+2158,52188489233i</v>
      </c>
      <c r="R393" s="4">
        <f t="shared" si="331"/>
        <v>2158.52211653231</v>
      </c>
      <c r="S393" s="4">
        <f t="shared" si="332"/>
        <v>1.57033304683677</v>
      </c>
      <c r="T393" s="4" t="str">
        <f t="shared" si="321"/>
        <v>1+5,54020617122366i</v>
      </c>
      <c r="U393" s="4">
        <f t="shared" si="333"/>
        <v>5.629732180101</v>
      </c>
      <c r="V393" s="4">
        <f t="shared" si="334"/>
        <v>1.39222038342679</v>
      </c>
      <c r="W393" t="str">
        <f t="shared" si="322"/>
        <v>1-5,29994212808386i</v>
      </c>
      <c r="X393" s="4">
        <f t="shared" si="335"/>
        <v>5.39345775556257</v>
      </c>
      <c r="Y393" s="4">
        <f t="shared" si="336"/>
        <v>-1.38430743569742</v>
      </c>
      <c r="Z393" t="str">
        <f t="shared" si="323"/>
        <v>0,974185488488421+1,09784515510308i</v>
      </c>
      <c r="AA393" s="4">
        <f t="shared" si="337"/>
        <v>1.46775384535852</v>
      </c>
      <c r="AB393" s="4">
        <f t="shared" si="338"/>
        <v>0.845007882438322</v>
      </c>
      <c r="AC393" s="67" t="str">
        <f t="shared" si="339"/>
        <v>-1,16428044418734-1,05069987372559i</v>
      </c>
      <c r="AD393" s="68">
        <f t="shared" si="340"/>
        <v>3.90850213189682</v>
      </c>
      <c r="AE393" s="31">
        <f t="shared" si="341"/>
        <v>-137.935462824268</v>
      </c>
      <c r="AF393" s="32" t="str">
        <f t="shared" si="342"/>
        <v>748,315388573934</v>
      </c>
      <c r="AG393" s="32" t="str">
        <f t="shared" si="324"/>
        <v>1+1758,79560991227i</v>
      </c>
      <c r="AH393" s="32">
        <f t="shared" si="343"/>
        <v>1758.7958941977</v>
      </c>
      <c r="AI393" s="32">
        <f t="shared" si="344"/>
        <v>1.57022775595778</v>
      </c>
      <c r="AJ393" s="32" t="str">
        <f t="shared" si="325"/>
        <v>1+5,54020617122366i</v>
      </c>
      <c r="AK393" s="32">
        <f t="shared" si="345"/>
        <v>5.629732180101</v>
      </c>
      <c r="AL393" s="32">
        <f t="shared" si="346"/>
        <v>1.39222038342679</v>
      </c>
      <c r="AM393" s="32" t="str">
        <f t="shared" si="326"/>
        <v>1-0,944312743477112i</v>
      </c>
      <c r="AN393" s="32">
        <f t="shared" si="347"/>
        <v>1.37540050803149</v>
      </c>
      <c r="AO393" s="32">
        <f t="shared" si="348"/>
        <v>-0.756764890682896</v>
      </c>
      <c r="AP393" s="30" t="str">
        <f t="shared" si="349"/>
        <v>1,95692327315947-2,6502855394786i</v>
      </c>
      <c r="AQ393" s="32">
        <f t="shared" si="350"/>
        <v>10.3557229697702</v>
      </c>
      <c r="AR393" s="31">
        <f t="shared" si="351"/>
        <v>-53.5585054880479</v>
      </c>
      <c r="AS393" t="str">
        <f t="shared" si="327"/>
        <v>-0,0000504684572142411</v>
      </c>
      <c r="AT393" t="str">
        <f t="shared" si="328"/>
        <v>0,0793931330786962i</v>
      </c>
      <c r="AU393">
        <f t="shared" si="352"/>
        <v>0.0793931330786962</v>
      </c>
      <c r="AV393">
        <f t="shared" si="353"/>
        <v>1.5707963267949</v>
      </c>
      <c r="AW393" t="str">
        <f t="shared" si="329"/>
        <v>1+4,06478279219604i</v>
      </c>
      <c r="AX393">
        <f t="shared" si="354"/>
        <v>4.18598365354346</v>
      </c>
      <c r="AY393">
        <f t="shared" si="355"/>
        <v>1.32957118331642</v>
      </c>
      <c r="AZ393" t="str">
        <f t="shared" si="330"/>
        <v>1+194,331211363074i</v>
      </c>
      <c r="BA393">
        <f t="shared" si="356"/>
        <v>194.333784272935</v>
      </c>
      <c r="BB393">
        <f t="shared" si="357"/>
        <v>1.5656505184272</v>
      </c>
      <c r="BC393" s="30" t="str">
        <f t="shared" si="358"/>
        <v>-0,00690246476223863+0,0286926978528149i</v>
      </c>
      <c r="BD393" s="32">
        <f t="shared" si="359"/>
        <v>-30.6002426438813</v>
      </c>
      <c r="BE393" s="31">
        <f t="shared" si="360"/>
        <v>103.526349532102</v>
      </c>
      <c r="BF393" s="30" t="str">
        <f t="shared" si="361"/>
        <v>0,0381838187501658-0,026153928146929i</v>
      </c>
      <c r="BG393" s="68">
        <f t="shared" si="362"/>
        <v>-26.6917405119844</v>
      </c>
      <c r="BH393" s="31">
        <f t="shared" si="363"/>
        <v>-34.4091132921656</v>
      </c>
      <c r="BI393" s="30" t="str">
        <f t="shared" si="369"/>
        <v>0,0625362482725561+0,0744429107440279i</v>
      </c>
      <c r="BJ393" s="68">
        <f t="shared" si="364"/>
        <v>-20.2445196741111</v>
      </c>
      <c r="BK393" s="31">
        <f t="shared" si="370"/>
        <v>49.9678440440546</v>
      </c>
      <c r="BL393" s="32">
        <f t="shared" si="365"/>
        <v>-26.6917405119844</v>
      </c>
      <c r="BM393" s="31">
        <f t="shared" si="366"/>
        <v>-34.4091132921656</v>
      </c>
      <c r="BO393">
        <f t="shared" si="367"/>
        <v>0</v>
      </c>
      <c r="BP393">
        <f t="shared" si="368"/>
        <v>0</v>
      </c>
    </row>
    <row r="394" spans="14:68">
      <c r="N394" s="7">
        <v>76</v>
      </c>
      <c r="O394" s="18">
        <f t="shared" si="371"/>
        <v>57543.9937337157</v>
      </c>
      <c r="P394" s="86" t="str">
        <f t="shared" si="319"/>
        <v>163,636363636364</v>
      </c>
      <c r="Q394" s="4" t="str">
        <f t="shared" si="320"/>
        <v>1+2208,80031849497i</v>
      </c>
      <c r="R394" s="4">
        <f t="shared" si="331"/>
        <v>2208.80054486218</v>
      </c>
      <c r="S394" s="4">
        <f t="shared" si="332"/>
        <v>1.57034359237463</v>
      </c>
      <c r="T394" s="4" t="str">
        <f t="shared" si="321"/>
        <v>1+5,66925415080376i</v>
      </c>
      <c r="U394" s="4">
        <f t="shared" si="333"/>
        <v>5.75677362994287</v>
      </c>
      <c r="V394" s="4">
        <f t="shared" si="334"/>
        <v>1.39620223869115</v>
      </c>
      <c r="W394" t="str">
        <f t="shared" si="322"/>
        <v>1-5,42339363916176i</v>
      </c>
      <c r="X394" s="4">
        <f t="shared" si="335"/>
        <v>5.51481627665875</v>
      </c>
      <c r="Y394" s="4">
        <f t="shared" si="336"/>
        <v>-1.3884579252681</v>
      </c>
      <c r="Z394" t="str">
        <f t="shared" si="323"/>
        <v>0,972968888042237+1,12341725382636i</v>
      </c>
      <c r="AA394" s="4">
        <f t="shared" si="337"/>
        <v>1.48618127538094</v>
      </c>
      <c r="AB394" s="4">
        <f t="shared" si="338"/>
        <v>0.857040917252999</v>
      </c>
      <c r="AC394" s="67" t="str">
        <f t="shared" si="339"/>
        <v>-1,18774222827184-1,04584053981782i</v>
      </c>
      <c r="AD394" s="68">
        <f t="shared" si="340"/>
        <v>3.98723469861968</v>
      </c>
      <c r="AE394" s="31">
        <f t="shared" si="341"/>
        <v>-138.635171182729</v>
      </c>
      <c r="AF394" s="32" t="str">
        <f t="shared" si="342"/>
        <v>748,315388573934</v>
      </c>
      <c r="AG394" s="32" t="str">
        <f t="shared" si="324"/>
        <v>1+1799,76322247738i</v>
      </c>
      <c r="AH394" s="32">
        <f t="shared" si="343"/>
        <v>1799.76350029168</v>
      </c>
      <c r="AI394" s="32">
        <f t="shared" si="344"/>
        <v>1.57024069820742</v>
      </c>
      <c r="AJ394" s="32" t="str">
        <f t="shared" si="325"/>
        <v>1+5,66925415080376i</v>
      </c>
      <c r="AK394" s="32">
        <f t="shared" si="345"/>
        <v>5.75677362994287</v>
      </c>
      <c r="AL394" s="32">
        <f t="shared" si="346"/>
        <v>1.39620223869115</v>
      </c>
      <c r="AM394" s="32" t="str">
        <f t="shared" si="326"/>
        <v>1-0,966308612921543i</v>
      </c>
      <c r="AN394" s="32">
        <f t="shared" si="347"/>
        <v>1.39059423823283</v>
      </c>
      <c r="AO394" s="32">
        <f t="shared" si="348"/>
        <v>-0.768265506632268</v>
      </c>
      <c r="AP394" s="30" t="str">
        <f t="shared" si="349"/>
        <v>1,95691241388917-2,69247450478978i</v>
      </c>
      <c r="AQ394" s="32">
        <f t="shared" si="350"/>
        <v>10.4449762843579</v>
      </c>
      <c r="AR394" s="31">
        <f t="shared" si="351"/>
        <v>-53.9900402787497</v>
      </c>
      <c r="AS394" t="str">
        <f t="shared" si="327"/>
        <v>-0,0000504684572142411</v>
      </c>
      <c r="AT394" t="str">
        <f t="shared" si="328"/>
        <v>0,081242436714643i</v>
      </c>
      <c r="AU394">
        <f t="shared" si="352"/>
        <v>0.081242436714643</v>
      </c>
      <c r="AV394">
        <f t="shared" si="353"/>
        <v>1.5707963267949</v>
      </c>
      <c r="AW394" t="str">
        <f t="shared" si="329"/>
        <v>1+4,15946374639761i</v>
      </c>
      <c r="AX394">
        <f t="shared" si="354"/>
        <v>4.27798301277554</v>
      </c>
      <c r="AY394">
        <f t="shared" si="355"/>
        <v>1.33485841164492</v>
      </c>
      <c r="AZ394" t="str">
        <f t="shared" si="330"/>
        <v>1+198,857766769264i</v>
      </c>
      <c r="BA394">
        <f t="shared" si="356"/>
        <v>198.860281113296</v>
      </c>
      <c r="BB394">
        <f t="shared" si="357"/>
        <v>1.56576764932842</v>
      </c>
      <c r="BC394" s="30" t="str">
        <f t="shared" si="358"/>
        <v>-0,00660877768743605+0,0281101792676687i</v>
      </c>
      <c r="BD394" s="32">
        <f t="shared" si="359"/>
        <v>-30.7890783727132</v>
      </c>
      <c r="BE394" s="31">
        <f t="shared" si="360"/>
        <v>103.230124769848</v>
      </c>
      <c r="BF394" s="30" t="str">
        <f t="shared" si="361"/>
        <v>0,0372482893963028-0,0264759193363376i</v>
      </c>
      <c r="BG394" s="68">
        <f t="shared" si="362"/>
        <v>-26.8018436740935</v>
      </c>
      <c r="BH394" s="31">
        <f t="shared" si="363"/>
        <v>-35.4050464128809</v>
      </c>
      <c r="BI394" s="30" t="str">
        <f t="shared" si="369"/>
        <v>0,0627531419060909+0,072803124196796i</v>
      </c>
      <c r="BJ394" s="68">
        <f t="shared" si="364"/>
        <v>-20.3441020883553</v>
      </c>
      <c r="BK394" s="31">
        <f t="shared" si="370"/>
        <v>49.240084491098</v>
      </c>
      <c r="BL394" s="32">
        <f t="shared" si="365"/>
        <v>-26.8018436740935</v>
      </c>
      <c r="BM394" s="31">
        <f t="shared" si="366"/>
        <v>-35.4050464128809</v>
      </c>
      <c r="BO394">
        <f t="shared" si="367"/>
        <v>0</v>
      </c>
      <c r="BP394">
        <f t="shared" si="368"/>
        <v>0</v>
      </c>
    </row>
    <row r="395" spans="14:68">
      <c r="N395" s="7">
        <v>77</v>
      </c>
      <c r="O395" s="18">
        <f t="shared" si="371"/>
        <v>58884.3655355589</v>
      </c>
      <c r="P395" s="86" t="str">
        <f t="shared" si="319"/>
        <v>163,636363636364</v>
      </c>
      <c r="Q395" s="4" t="str">
        <f t="shared" si="320"/>
        <v>1+2260,2498872634i</v>
      </c>
      <c r="R395" s="4">
        <f t="shared" si="331"/>
        <v>2260.25010847787</v>
      </c>
      <c r="S395" s="4">
        <f t="shared" si="332"/>
        <v>1.57035389786684</v>
      </c>
      <c r="T395" s="4" t="str">
        <f t="shared" si="321"/>
        <v>1+5,80130804397606i</v>
      </c>
      <c r="U395" s="4">
        <f t="shared" si="333"/>
        <v>5.88686461718811</v>
      </c>
      <c r="V395" s="4">
        <f t="shared" si="334"/>
        <v>1.40009886813595</v>
      </c>
      <c r="W395" t="str">
        <f t="shared" si="322"/>
        <v>1-5,54972070533425i</v>
      </c>
      <c r="X395" s="4">
        <f t="shared" si="335"/>
        <v>5.63909566395319</v>
      </c>
      <c r="Y395" s="4">
        <f t="shared" si="336"/>
        <v>-1.39252008590689</v>
      </c>
      <c r="Z395" t="str">
        <f t="shared" si="323"/>
        <v>0,971694950983467+1,14958500324781i</v>
      </c>
      <c r="AA395" s="4">
        <f t="shared" si="337"/>
        <v>1.50523644569849</v>
      </c>
      <c r="AB395" s="4">
        <f t="shared" si="338"/>
        <v>0.869062180027576</v>
      </c>
      <c r="AC395" s="67" t="str">
        <f t="shared" si="339"/>
        <v>-1,21109970460409-1,0404598419414i</v>
      </c>
      <c r="AD395" s="68">
        <f t="shared" si="340"/>
        <v>4.0642421295545</v>
      </c>
      <c r="AE395" s="31">
        <f t="shared" si="341"/>
        <v>-139.334013504133</v>
      </c>
      <c r="AF395" s="32" t="str">
        <f t="shared" si="342"/>
        <v>748,315388573934</v>
      </c>
      <c r="AG395" s="32" t="str">
        <f t="shared" si="324"/>
        <v>1+1841,68509332573i</v>
      </c>
      <c r="AH395" s="32">
        <f t="shared" si="343"/>
        <v>1841.68536481621</v>
      </c>
      <c r="AI395" s="32">
        <f t="shared" si="344"/>
        <v>1.57025334585568</v>
      </c>
      <c r="AJ395" s="32" t="str">
        <f t="shared" si="325"/>
        <v>1+5,80130804397606i</v>
      </c>
      <c r="AK395" s="32">
        <f t="shared" si="345"/>
        <v>5.88686461718811</v>
      </c>
      <c r="AL395" s="32">
        <f t="shared" si="346"/>
        <v>1.40009886813595</v>
      </c>
      <c r="AM395" s="32" t="str">
        <f t="shared" si="326"/>
        <v>1-0,98881683198315i</v>
      </c>
      <c r="AN395" s="32">
        <f t="shared" si="347"/>
        <v>1.40632810084034</v>
      </c>
      <c r="AO395" s="32">
        <f t="shared" si="348"/>
        <v>-0.779775197031439</v>
      </c>
      <c r="AP395" s="30" t="str">
        <f t="shared" si="349"/>
        <v>1,95690204336626-2,73609105517923i</v>
      </c>
      <c r="AQ395" s="32">
        <f t="shared" si="350"/>
        <v>10.5367988479131</v>
      </c>
      <c r="AR395" s="31">
        <f t="shared" si="351"/>
        <v>-54.4269611974767</v>
      </c>
      <c r="AS395" t="str">
        <f t="shared" si="327"/>
        <v>-0,0000504684572142411</v>
      </c>
      <c r="AT395" t="str">
        <f t="shared" si="328"/>
        <v>0,0831348161659069i</v>
      </c>
      <c r="AU395">
        <f t="shared" si="352"/>
        <v>0.0831348161659069</v>
      </c>
      <c r="AV395">
        <f t="shared" si="353"/>
        <v>1.5707963267949</v>
      </c>
      <c r="AW395" t="str">
        <f t="shared" si="329"/>
        <v>1+4,25635010333452i</v>
      </c>
      <c r="AX395">
        <f t="shared" si="354"/>
        <v>4.37224384065617</v>
      </c>
      <c r="AY395">
        <f t="shared" si="355"/>
        <v>1.34003830880994</v>
      </c>
      <c r="AZ395" t="str">
        <f t="shared" si="330"/>
        <v>1+203,489759195589i</v>
      </c>
      <c r="BA395">
        <f t="shared" si="356"/>
        <v>203.492216306862</v>
      </c>
      <c r="BB395">
        <f t="shared" si="357"/>
        <v>1.56588211413814</v>
      </c>
      <c r="BC395" s="30" t="str">
        <f t="shared" si="358"/>
        <v>-0,00632689322342925+0,0275365402720964i</v>
      </c>
      <c r="BD395" s="32">
        <f t="shared" si="359"/>
        <v>-30.9783896934375</v>
      </c>
      <c r="BE395" s="31">
        <f t="shared" si="360"/>
        <v>102.93989687448</v>
      </c>
      <c r="BF395" s="30" t="str">
        <f t="shared" si="361"/>
        <v>0,0363131628530752-0,0267666174661253i</v>
      </c>
      <c r="BG395" s="68">
        <f t="shared" si="362"/>
        <v>-26.914147563883</v>
      </c>
      <c r="BH395" s="31">
        <f t="shared" si="363"/>
        <v>-36.3941166296526</v>
      </c>
      <c r="BI395" s="30" t="str">
        <f t="shared" si="369"/>
        <v>0,0629613712519768+0,0711972678814016i</v>
      </c>
      <c r="BJ395" s="68">
        <f t="shared" si="364"/>
        <v>-20.4415908455243</v>
      </c>
      <c r="BK395" s="31">
        <f t="shared" si="370"/>
        <v>48.5129356770034</v>
      </c>
      <c r="BL395" s="32">
        <f t="shared" si="365"/>
        <v>-26.914147563883</v>
      </c>
      <c r="BM395" s="31">
        <f t="shared" si="366"/>
        <v>-36.3941166296526</v>
      </c>
      <c r="BO395">
        <f t="shared" si="367"/>
        <v>0</v>
      </c>
      <c r="BP395">
        <f t="shared" si="368"/>
        <v>0</v>
      </c>
    </row>
    <row r="396" spans="14:68">
      <c r="N396" s="7">
        <v>78</v>
      </c>
      <c r="O396" s="18">
        <f t="shared" si="371"/>
        <v>60255.9586074359</v>
      </c>
      <c r="P396" s="86" t="str">
        <f t="shared" si="319"/>
        <v>163,636363636364</v>
      </c>
      <c r="Q396" s="4" t="str">
        <f t="shared" si="320"/>
        <v>1+2312,89787044001i</v>
      </c>
      <c r="R396" s="4">
        <f t="shared" si="331"/>
        <v>2312.89808661902</v>
      </c>
      <c r="S396" s="4">
        <f t="shared" si="332"/>
        <v>1.57036396877751</v>
      </c>
      <c r="T396" s="4" t="str">
        <f t="shared" si="321"/>
        <v>1+5,93643786746269i</v>
      </c>
      <c r="U396" s="4">
        <f t="shared" si="333"/>
        <v>6.02007429806684</v>
      </c>
      <c r="V396" s="4">
        <f t="shared" si="334"/>
        <v>1.40391186424705</v>
      </c>
      <c r="W396" t="str">
        <f t="shared" si="322"/>
        <v>1-5,67899030688395i</v>
      </c>
      <c r="X396" s="4">
        <f t="shared" si="335"/>
        <v>5.76636201653017</v>
      </c>
      <c r="Y396" s="4">
        <f t="shared" si="336"/>
        <v>-1.39649553491879</v>
      </c>
      <c r="Z396" t="str">
        <f t="shared" si="323"/>
        <v>0,970360975120808+1,17636227785453i</v>
      </c>
      <c r="AA396" s="4">
        <f t="shared" si="337"/>
        <v>1.52493561529545</v>
      </c>
      <c r="AB396" s="4">
        <f t="shared" si="338"/>
        <v>0.881066039462087</v>
      </c>
      <c r="AC396" s="67" t="str">
        <f t="shared" si="339"/>
        <v>-1,23432875633615-1,03456273611835i</v>
      </c>
      <c r="AD396" s="68">
        <f t="shared" si="340"/>
        <v>4.13951141925499</v>
      </c>
      <c r="AE396" s="31">
        <f t="shared" si="341"/>
        <v>-140.03166887386</v>
      </c>
      <c r="AF396" s="32" t="str">
        <f t="shared" si="342"/>
        <v>748,315388573934</v>
      </c>
      <c r="AG396" s="32" t="str">
        <f t="shared" si="324"/>
        <v>1+1884,58344998816i</v>
      </c>
      <c r="AH396" s="32">
        <f t="shared" si="343"/>
        <v>1884.58371529876</v>
      </c>
      <c r="AI396" s="32">
        <f t="shared" si="344"/>
        <v>1.57026570560847</v>
      </c>
      <c r="AJ396" s="32" t="str">
        <f t="shared" si="325"/>
        <v>1+5,93643786746269i</v>
      </c>
      <c r="AK396" s="32">
        <f t="shared" si="345"/>
        <v>6.02007429806684</v>
      </c>
      <c r="AL396" s="32">
        <f t="shared" si="346"/>
        <v>1.40391186424705</v>
      </c>
      <c r="AM396" s="32" t="str">
        <f t="shared" si="326"/>
        <v>1-1,01184933481762i</v>
      </c>
      <c r="AN396" s="32">
        <f t="shared" si="347"/>
        <v>1.42261698161201</v>
      </c>
      <c r="AO396" s="32">
        <f t="shared" si="348"/>
        <v>-0.791287867760439</v>
      </c>
      <c r="AP396" s="30" t="str">
        <f t="shared" si="349"/>
        <v>1,95689213959348-2,78115831675559i</v>
      </c>
      <c r="AQ396" s="32">
        <f t="shared" si="350"/>
        <v>10.6311816392394</v>
      </c>
      <c r="AR396" s="31">
        <f t="shared" si="351"/>
        <v>-54.8688282183773</v>
      </c>
      <c r="AS396" t="str">
        <f t="shared" si="327"/>
        <v>-0,0000504684572142411</v>
      </c>
      <c r="AT396" t="str">
        <f t="shared" si="328"/>
        <v>0,0850712747971214i</v>
      </c>
      <c r="AU396">
        <f t="shared" si="352"/>
        <v>0.0850712747971214</v>
      </c>
      <c r="AV396">
        <f t="shared" si="353"/>
        <v>1.5707963267949</v>
      </c>
      <c r="AW396" t="str">
        <f t="shared" si="329"/>
        <v>1+4,35549323343569i</v>
      </c>
      <c r="AX396">
        <f t="shared" si="354"/>
        <v>4.46881654428822</v>
      </c>
      <c r="AY396">
        <f t="shared" si="355"/>
        <v>1.34511250890362</v>
      </c>
      <c r="AZ396" t="str">
        <f t="shared" si="330"/>
        <v>1+208,229644585744i</v>
      </c>
      <c r="BA396">
        <f t="shared" si="356"/>
        <v>208.232045766989</v>
      </c>
      <c r="BB396">
        <f t="shared" si="357"/>
        <v>1.56599397353513</v>
      </c>
      <c r="BC396" s="30" t="str">
        <f t="shared" si="358"/>
        <v>-0,00605639513549552+0,0269718371317224i</v>
      </c>
      <c r="BD396" s="32">
        <f t="shared" si="359"/>
        <v>-31.1681574452008</v>
      </c>
      <c r="BE396" s="31">
        <f t="shared" si="360"/>
        <v>102.655575696054</v>
      </c>
      <c r="BF396" s="30" t="str">
        <f t="shared" si="361"/>
        <v>0,0353796402966097-0,027026393460508i</v>
      </c>
      <c r="BG396" s="68">
        <f t="shared" si="362"/>
        <v>-27.0286460259458</v>
      </c>
      <c r="BH396" s="31">
        <f t="shared" si="363"/>
        <v>-37.3760931778065</v>
      </c>
      <c r="BI396" s="30" t="str">
        <f t="shared" si="369"/>
        <v>0,0631612371221436+0,0696247697741046i</v>
      </c>
      <c r="BJ396" s="68">
        <f t="shared" si="364"/>
        <v>-20.5369758059614</v>
      </c>
      <c r="BK396" s="31">
        <f t="shared" si="370"/>
        <v>47.7867474776767</v>
      </c>
      <c r="BL396" s="32">
        <f t="shared" si="365"/>
        <v>-27.0286460259458</v>
      </c>
      <c r="BM396" s="31">
        <f t="shared" si="366"/>
        <v>-37.3760931778065</v>
      </c>
      <c r="BO396">
        <f t="shared" si="367"/>
        <v>0</v>
      </c>
      <c r="BP396">
        <f t="shared" si="368"/>
        <v>0</v>
      </c>
    </row>
    <row r="397" spans="14:68">
      <c r="N397" s="7">
        <v>79</v>
      </c>
      <c r="O397" s="18">
        <f t="shared" si="371"/>
        <v>61659.5001861482</v>
      </c>
      <c r="P397" s="86" t="str">
        <f t="shared" si="319"/>
        <v>163,636363636364</v>
      </c>
      <c r="Q397" s="4" t="str">
        <f t="shared" si="320"/>
        <v>1+2366,77218268233i</v>
      </c>
      <c r="R397" s="4">
        <f t="shared" si="331"/>
        <v>2366.77239394051</v>
      </c>
      <c r="S397" s="4">
        <f t="shared" si="332"/>
        <v>1.57037381044634</v>
      </c>
      <c r="T397" s="4" t="str">
        <f t="shared" si="321"/>
        <v>1+6,07471526888465i</v>
      </c>
      <c r="U397" s="4">
        <f t="shared" si="333"/>
        <v>6.15647347091014</v>
      </c>
      <c r="V397" s="4">
        <f t="shared" si="334"/>
        <v>1.4076428050076</v>
      </c>
      <c r="W397" t="str">
        <f t="shared" si="322"/>
        <v>1-5,81127098426465i</v>
      </c>
      <c r="X397" s="4">
        <f t="shared" si="335"/>
        <v>5.89668300424537</v>
      </c>
      <c r="Y397" s="4">
        <f t="shared" si="336"/>
        <v>-1.4003858772603</v>
      </c>
      <c r="Z397" t="str">
        <f t="shared" si="323"/>
        <v>0,968964130912607+1,20376327531196i</v>
      </c>
      <c r="AA397" s="4">
        <f t="shared" si="337"/>
        <v>1.54529528245737</v>
      </c>
      <c r="AB397" s="4">
        <f t="shared" si="338"/>
        <v>0.893046951264866</v>
      </c>
      <c r="AC397" s="67" t="str">
        <f t="shared" si="339"/>
        <v>-1,25740578139593-1,02815551048035i</v>
      </c>
      <c r="AD397" s="68">
        <f t="shared" si="340"/>
        <v>4.21303279997068</v>
      </c>
      <c r="AE397" s="31">
        <f t="shared" si="341"/>
        <v>-140.727821478803</v>
      </c>
      <c r="AF397" s="32" t="str">
        <f t="shared" si="342"/>
        <v>748,315388573934</v>
      </c>
      <c r="AG397" s="32" t="str">
        <f t="shared" si="324"/>
        <v>1+1928,48103774116i</v>
      </c>
      <c r="AH397" s="32">
        <f t="shared" si="343"/>
        <v>1928.48129701255</v>
      </c>
      <c r="AI397" s="32">
        <f t="shared" si="344"/>
        <v>1.57027778401911</v>
      </c>
      <c r="AJ397" s="32" t="str">
        <f t="shared" si="325"/>
        <v>1+6,07471526888465i</v>
      </c>
      <c r="AK397" s="32">
        <f t="shared" si="345"/>
        <v>6.15647347091014</v>
      </c>
      <c r="AL397" s="32">
        <f t="shared" si="346"/>
        <v>1.4076428050076</v>
      </c>
      <c r="AM397" s="32" t="str">
        <f t="shared" si="326"/>
        <v>1-1,0354183335628i</v>
      </c>
      <c r="AN397" s="32">
        <f t="shared" si="347"/>
        <v>1.43947598989284</v>
      </c>
      <c r="AO397" s="32">
        <f t="shared" si="348"/>
        <v>-0.802797416806541</v>
      </c>
      <c r="AP397" s="30" t="str">
        <f t="shared" si="349"/>
        <v>1,95688268156367-2,82770018481127i</v>
      </c>
      <c r="AQ397" s="32">
        <f t="shared" si="350"/>
        <v>10.7281136538648</v>
      </c>
      <c r="AR397" s="31">
        <f t="shared" si="351"/>
        <v>-55.3152016855775</v>
      </c>
      <c r="AS397" t="str">
        <f t="shared" si="327"/>
        <v>-0,0000504684572142411</v>
      </c>
      <c r="AT397" t="str">
        <f t="shared" si="328"/>
        <v>0,0870528393442845i</v>
      </c>
      <c r="AU397">
        <f t="shared" si="352"/>
        <v>0.0870528393442845</v>
      </c>
      <c r="AV397">
        <f t="shared" si="353"/>
        <v>1.5707963267949</v>
      </c>
      <c r="AW397" t="str">
        <f t="shared" si="329"/>
        <v>1+4,45694570370097i</v>
      </c>
      <c r="AX397">
        <f t="shared" si="354"/>
        <v>4.56775273036299</v>
      </c>
      <c r="AY397">
        <f t="shared" si="355"/>
        <v>1.35008265668419</v>
      </c>
      <c r="AZ397" t="str">
        <f t="shared" si="330"/>
        <v>1+213,079936089703i</v>
      </c>
      <c r="BA397">
        <f t="shared" si="356"/>
        <v>213.082282613998</v>
      </c>
      <c r="BB397">
        <f t="shared" si="357"/>
        <v>1.56610328681751</v>
      </c>
      <c r="BC397" s="30" t="str">
        <f t="shared" si="358"/>
        <v>-0,00579687696135145+0,0264161109696545i</v>
      </c>
      <c r="BD397" s="32">
        <f t="shared" si="359"/>
        <v>-31.3583631469171</v>
      </c>
      <c r="BE397" s="31">
        <f t="shared" si="360"/>
        <v>102.377070394396</v>
      </c>
      <c r="BF397" s="30" t="str">
        <f t="shared" si="361"/>
        <v>0,0344488966641549-0,0272556796638499i</v>
      </c>
      <c r="BG397" s="68">
        <f t="shared" si="362"/>
        <v>-27.1453303469465</v>
      </c>
      <c r="BH397" s="31">
        <f t="shared" si="363"/>
        <v>-38.3507510844069</v>
      </c>
      <c r="BI397" s="30" t="str">
        <f t="shared" si="369"/>
        <v>0,063353033738063+0,0680850601257227i</v>
      </c>
      <c r="BJ397" s="68">
        <f t="shared" si="364"/>
        <v>-20.6302494930523</v>
      </c>
      <c r="BK397" s="31">
        <f t="shared" si="370"/>
        <v>47.0618687088184</v>
      </c>
      <c r="BL397" s="32">
        <f t="shared" si="365"/>
        <v>-27.1453303469465</v>
      </c>
      <c r="BM397" s="31">
        <f t="shared" si="366"/>
        <v>-38.3507510844069</v>
      </c>
      <c r="BO397">
        <f t="shared" si="367"/>
        <v>0</v>
      </c>
      <c r="BP397">
        <f t="shared" si="368"/>
        <v>0</v>
      </c>
    </row>
    <row r="398" spans="14:68">
      <c r="N398" s="7">
        <v>80</v>
      </c>
      <c r="O398" s="18">
        <f t="shared" si="371"/>
        <v>63095.7344480193</v>
      </c>
      <c r="P398" s="86" t="str">
        <f t="shared" si="319"/>
        <v>163,636363636364</v>
      </c>
      <c r="Q398" s="4" t="str">
        <f t="shared" si="320"/>
        <v>1+2421,90138886386i</v>
      </c>
      <c r="R398" s="4">
        <f t="shared" si="331"/>
        <v>2421.90159531322</v>
      </c>
      <c r="S398" s="4">
        <f t="shared" si="332"/>
        <v>1.57038342809152</v>
      </c>
      <c r="T398" s="4" t="str">
        <f t="shared" si="321"/>
        <v>1+6,21621356475056i</v>
      </c>
      <c r="U398" s="4">
        <f t="shared" si="333"/>
        <v>6.29613461439548</v>
      </c>
      <c r="V398" s="4">
        <f t="shared" si="334"/>
        <v>1.41129325292687</v>
      </c>
      <c r="W398" t="str">
        <f t="shared" si="322"/>
        <v>1-5,94663287444251i</v>
      </c>
      <c r="X398" s="4">
        <f t="shared" si="335"/>
        <v>6.03012790439808</v>
      </c>
      <c r="Y398" s="4">
        <f t="shared" si="336"/>
        <v>-1.40419270437221</v>
      </c>
      <c r="Z398" t="str">
        <f t="shared" si="323"/>
        <v>0,967501455465021+1,23180252399166i</v>
      </c>
      <c r="AA398" s="4">
        <f t="shared" si="337"/>
        <v>1.56633218840678</v>
      </c>
      <c r="AB398" s="4">
        <f t="shared" si="338"/>
        <v>0.904999472885888</v>
      </c>
      <c r="AC398" s="67" t="str">
        <f t="shared" si="339"/>
        <v>-1,28030778414367-1,02124573552449i</v>
      </c>
      <c r="AD398" s="68">
        <f t="shared" si="340"/>
        <v>4.28479965414016</v>
      </c>
      <c r="AE398" s="31">
        <f t="shared" si="341"/>
        <v>-141.422161440446</v>
      </c>
      <c r="AF398" s="32" t="str">
        <f t="shared" si="342"/>
        <v>748,315388573934</v>
      </c>
      <c r="AG398" s="32" t="str">
        <f t="shared" si="324"/>
        <v>1+1973,40113166685i</v>
      </c>
      <c r="AH398" s="32">
        <f t="shared" si="343"/>
        <v>1973.40138503651</v>
      </c>
      <c r="AI398" s="32">
        <f t="shared" si="344"/>
        <v>1.57028958749169</v>
      </c>
      <c r="AJ398" s="32" t="str">
        <f t="shared" si="325"/>
        <v>1+6,21621356475056i</v>
      </c>
      <c r="AK398" s="32">
        <f t="shared" si="345"/>
        <v>6.29613461439548</v>
      </c>
      <c r="AL398" s="32">
        <f t="shared" si="346"/>
        <v>1.41129325292687</v>
      </c>
      <c r="AM398" s="32" t="str">
        <f t="shared" si="326"/>
        <v>1-1,05953632481384i</v>
      </c>
      <c r="AN398" s="32">
        <f t="shared" si="347"/>
        <v>1.45692045891326</v>
      </c>
      <c r="AO398" s="32">
        <f t="shared" si="348"/>
        <v>-0.814297750424013</v>
      </c>
      <c r="AP398" s="30" t="str">
        <f t="shared" si="349"/>
        <v>1,95687364921509-2,87574133649244i</v>
      </c>
      <c r="AQ398" s="32">
        <f t="shared" si="350"/>
        <v>10.8275818885511</v>
      </c>
      <c r="AR398" s="31">
        <f t="shared" si="351"/>
        <v>-55.7656432949072</v>
      </c>
      <c r="AS398" t="str">
        <f t="shared" si="327"/>
        <v>-0,0000504684572142411</v>
      </c>
      <c r="AT398" t="str">
        <f t="shared" si="328"/>
        <v>0,0890805604591486i</v>
      </c>
      <c r="AU398">
        <f t="shared" si="352"/>
        <v>0.0890805604591486</v>
      </c>
      <c r="AV398">
        <f t="shared" si="353"/>
        <v>1.5707963267949</v>
      </c>
      <c r="AW398" t="str">
        <f t="shared" si="329"/>
        <v>1+4,56076130557302i</v>
      </c>
      <c r="AX398">
        <f t="shared" si="354"/>
        <v>4.66910523402634</v>
      </c>
      <c r="AY398">
        <f t="shared" si="355"/>
        <v>1.35495040475154</v>
      </c>
      <c r="AZ398" t="str">
        <f t="shared" si="330"/>
        <v>1+218,043205396225i</v>
      </c>
      <c r="BA398">
        <f t="shared" si="356"/>
        <v>218.045498507675</v>
      </c>
      <c r="BB398">
        <f t="shared" si="357"/>
        <v>1.56621011193417</v>
      </c>
      <c r="BC398" s="30" t="str">
        <f t="shared" si="358"/>
        <v>-0,00554794222358681+0,0258693887111094i</v>
      </c>
      <c r="BD398" s="32">
        <f t="shared" si="359"/>
        <v>-31.5489889809466</v>
      </c>
      <c r="BE398" s="31">
        <f t="shared" si="360"/>
        <v>102.104289602734</v>
      </c>
      <c r="BF398" s="30" t="str">
        <f t="shared" si="361"/>
        <v>0,0335220765166834-0,0274549674010975i</v>
      </c>
      <c r="BG398" s="68">
        <f t="shared" si="362"/>
        <v>-27.2641893268064</v>
      </c>
      <c r="BH398" s="31">
        <f t="shared" si="363"/>
        <v>-39.3178718377115</v>
      </c>
      <c r="BI398" s="30" t="str">
        <f t="shared" si="369"/>
        <v>0,0635370485216234+0,0665775718749127i</v>
      </c>
      <c r="BJ398" s="68">
        <f t="shared" si="364"/>
        <v>-20.7214070923955</v>
      </c>
      <c r="BK398" s="31">
        <f t="shared" si="370"/>
        <v>46.3386463078271</v>
      </c>
      <c r="BL398" s="32">
        <f t="shared" si="365"/>
        <v>-27.2641893268064</v>
      </c>
      <c r="BM398" s="31">
        <f t="shared" si="366"/>
        <v>-39.3178718377115</v>
      </c>
      <c r="BO398">
        <f t="shared" si="367"/>
        <v>0</v>
      </c>
      <c r="BP398">
        <f t="shared" si="368"/>
        <v>0</v>
      </c>
    </row>
    <row r="399" spans="14:68">
      <c r="N399" s="7">
        <v>81</v>
      </c>
      <c r="O399" s="18">
        <f t="shared" si="371"/>
        <v>64565.4229034657</v>
      </c>
      <c r="P399" s="86" t="str">
        <f t="shared" si="319"/>
        <v>163,636363636364</v>
      </c>
      <c r="Q399" s="4" t="str">
        <f t="shared" si="320"/>
        <v>1+2478,31471921942i</v>
      </c>
      <c r="R399" s="4">
        <f t="shared" si="331"/>
        <v>2478.31492096941</v>
      </c>
      <c r="S399" s="4">
        <f t="shared" si="332"/>
        <v>1.57039282681244</v>
      </c>
      <c r="T399" s="4" t="str">
        <f t="shared" si="321"/>
        <v>1+6,36100777932983i</v>
      </c>
      <c r="U399" s="4">
        <f t="shared" si="333"/>
        <v>6.43913192664156</v>
      </c>
      <c r="V399" s="4">
        <f t="shared" si="334"/>
        <v>1.41486475416282</v>
      </c>
      <c r="W399" t="str">
        <f t="shared" si="322"/>
        <v>1-6,08514774808339i</v>
      </c>
      <c r="X399" s="4">
        <f t="shared" si="335"/>
        <v>6.16676763920973</v>
      </c>
      <c r="Y399" s="4">
        <f t="shared" si="336"/>
        <v>-1.40791759311685</v>
      </c>
      <c r="Z399" t="str">
        <f t="shared" si="323"/>
        <v>0,965969846247319+1,26049489067441i</v>
      </c>
      <c r="AA399" s="4">
        <f t="shared" si="337"/>
        <v>1.58806332155722</v>
      </c>
      <c r="AB399" s="4">
        <f t="shared" si="338"/>
        <v>0.916918277663174</v>
      </c>
      <c r="AC399" s="67" t="str">
        <f t="shared" si="339"/>
        <v>-1,30301246172187-1,01384220701262i</v>
      </c>
      <c r="AD399" s="68">
        <f t="shared" si="340"/>
        <v>4.35480841875459</v>
      </c>
      <c r="AE399" s="31">
        <f t="shared" si="341"/>
        <v>-142.114385614944</v>
      </c>
      <c r="AF399" s="32" t="str">
        <f t="shared" si="342"/>
        <v>748,315388573934</v>
      </c>
      <c r="AG399" s="32" t="str">
        <f t="shared" si="324"/>
        <v>1+2019,3675489936i</v>
      </c>
      <c r="AH399" s="32">
        <f t="shared" si="343"/>
        <v>2019.36779659586</v>
      </c>
      <c r="AI399" s="32">
        <f t="shared" si="344"/>
        <v>1.57030112228458</v>
      </c>
      <c r="AJ399" s="32" t="str">
        <f t="shared" si="325"/>
        <v>1+6,36100777932983i</v>
      </c>
      <c r="AK399" s="32">
        <f t="shared" si="345"/>
        <v>6.43913192664156</v>
      </c>
      <c r="AL399" s="32">
        <f t="shared" si="346"/>
        <v>1.41486475416282</v>
      </c>
      <c r="AM399" s="32" t="str">
        <f t="shared" si="326"/>
        <v>1-1,0842160962489i</v>
      </c>
      <c r="AN399" s="32">
        <f t="shared" si="347"/>
        <v>1.47496594651036</v>
      </c>
      <c r="AO399" s="32">
        <f t="shared" si="348"/>
        <v>-0.825782799240383</v>
      </c>
      <c r="AP399" s="30" t="str">
        <f t="shared" si="349"/>
        <v>1,95686502338897-2,92530724388301i</v>
      </c>
      <c r="AQ399" s="32">
        <f t="shared" si="350"/>
        <v>10.9295713364337</v>
      </c>
      <c r="AR399" s="31">
        <f t="shared" si="351"/>
        <v>-56.2197170671912</v>
      </c>
      <c r="AS399" t="str">
        <f t="shared" si="327"/>
        <v>-0,0000504684572142411</v>
      </c>
      <c r="AT399" t="str">
        <f t="shared" si="328"/>
        <v>0,091155513266289i</v>
      </c>
      <c r="AU399">
        <f t="shared" si="352"/>
        <v>0.091155513266289</v>
      </c>
      <c r="AV399">
        <f t="shared" si="353"/>
        <v>1.5707963267949</v>
      </c>
      <c r="AW399" t="str">
        <f t="shared" si="329"/>
        <v>1+4,6669950834581i</v>
      </c>
      <c r="AX399">
        <f t="shared" si="354"/>
        <v>4.77292814831965</v>
      </c>
      <c r="AY399">
        <f t="shared" si="355"/>
        <v>1.35971741090023</v>
      </c>
      <c r="AZ399" t="str">
        <f t="shared" si="330"/>
        <v>1+223,12208409639i</v>
      </c>
      <c r="BA399">
        <f t="shared" si="356"/>
        <v>223.124325010781</v>
      </c>
      <c r="BB399">
        <f t="shared" si="357"/>
        <v>1.56631450551545</v>
      </c>
      <c r="BC399" s="30" t="str">
        <f t="shared" si="358"/>
        <v>-0,00530920459072448+0,0253316839960581i</v>
      </c>
      <c r="BD399" s="32">
        <f t="shared" si="359"/>
        <v>-31.7400177764648</v>
      </c>
      <c r="BE399" s="31">
        <f t="shared" si="360"/>
        <v>101.837141581117</v>
      </c>
      <c r="BF399" s="30" t="str">
        <f t="shared" si="361"/>
        <v>0,0326002901534548-0,0276248042235225i</v>
      </c>
      <c r="BG399" s="68">
        <f t="shared" si="362"/>
        <v>-27.3852093577102</v>
      </c>
      <c r="BH399" s="31">
        <f t="shared" si="363"/>
        <v>-40.2772440338269</v>
      </c>
      <c r="BI399" s="30" t="str">
        <f t="shared" si="369"/>
        <v>0,0637135619278192+0,0651017410439315i</v>
      </c>
      <c r="BJ399" s="68">
        <f t="shared" si="364"/>
        <v>-20.8104464400311</v>
      </c>
      <c r="BK399" s="31">
        <f t="shared" si="370"/>
        <v>45.6174245139258</v>
      </c>
      <c r="BL399" s="32">
        <f t="shared" si="365"/>
        <v>-27.3852093577102</v>
      </c>
      <c r="BM399" s="31">
        <f t="shared" si="366"/>
        <v>-40.2772440338269</v>
      </c>
      <c r="BO399">
        <f t="shared" si="367"/>
        <v>0</v>
      </c>
      <c r="BP399">
        <f t="shared" si="368"/>
        <v>0</v>
      </c>
    </row>
    <row r="400" spans="14:68">
      <c r="N400" s="7">
        <v>82</v>
      </c>
      <c r="O400" s="18">
        <f t="shared" si="371"/>
        <v>66069.3448007597</v>
      </c>
      <c r="P400" s="86" t="str">
        <f t="shared" si="319"/>
        <v>163,636363636364</v>
      </c>
      <c r="Q400" s="4" t="str">
        <f t="shared" si="320"/>
        <v>1+2536,04208484347i</v>
      </c>
      <c r="R400" s="4">
        <f t="shared" si="331"/>
        <v>2536.04228200107</v>
      </c>
      <c r="S400" s="4">
        <f t="shared" si="332"/>
        <v>1.57040201159242</v>
      </c>
      <c r="T400" s="4" t="str">
        <f t="shared" si="321"/>
        <v>1+6,50917468443157i</v>
      </c>
      <c r="U400" s="4">
        <f t="shared" si="333"/>
        <v>6.58554136517605</v>
      </c>
      <c r="V400" s="4">
        <f t="shared" si="334"/>
        <v>1.41835883773282</v>
      </c>
      <c r="W400" t="str">
        <f t="shared" si="322"/>
        <v>1-6,22688904760673i</v>
      </c>
      <c r="X400" s="4">
        <f t="shared" si="335"/>
        <v>6.30667481413182</v>
      </c>
      <c r="Y400" s="4">
        <f t="shared" si="336"/>
        <v>-1.41156210481411</v>
      </c>
      <c r="Z400" t="str">
        <f t="shared" si="323"/>
        <v>0,964366054511007+1,28985558843282i</v>
      </c>
      <c r="AA400" s="4">
        <f t="shared" si="337"/>
        <v>1.61050592240591</v>
      </c>
      <c r="AB400" s="4">
        <f t="shared" si="338"/>
        <v>0.928798168303425</v>
      </c>
      <c r="AC400" s="67" t="str">
        <f t="shared" si="339"/>
        <v>-1,32549828443725-1,00595488215521i</v>
      </c>
      <c r="AD400" s="68">
        <f t="shared" si="340"/>
        <v>4.42305848217741</v>
      </c>
      <c r="AE400" s="31">
        <f t="shared" si="341"/>
        <v>-142.804198355648</v>
      </c>
      <c r="AF400" s="32" t="str">
        <f t="shared" si="342"/>
        <v>748,315388573934</v>
      </c>
      <c r="AG400" s="32" t="str">
        <f t="shared" si="324"/>
        <v>1+2066,40466172431i</v>
      </c>
      <c r="AH400" s="32">
        <f t="shared" si="343"/>
        <v>2066.40490369046</v>
      </c>
      <c r="AI400" s="32">
        <f t="shared" si="344"/>
        <v>1.57031239451365</v>
      </c>
      <c r="AJ400" s="32" t="str">
        <f t="shared" si="325"/>
        <v>1+6,50917468443157i</v>
      </c>
      <c r="AK400" s="32">
        <f t="shared" si="345"/>
        <v>6.58554136517605</v>
      </c>
      <c r="AL400" s="32">
        <f t="shared" si="346"/>
        <v>1.41835883773282</v>
      </c>
      <c r="AM400" s="32" t="str">
        <f t="shared" si="326"/>
        <v>1-1,1094707334095i</v>
      </c>
      <c r="AN400" s="32">
        <f t="shared" si="347"/>
        <v>1.49362823630655</v>
      </c>
      <c r="AO400" s="32">
        <f t="shared" si="348"/>
        <v>-0.837246534205844</v>
      </c>
      <c r="AP400" s="30" t="str">
        <f t="shared" si="349"/>
        <v>1,95685678578879-2,97642418751073i</v>
      </c>
      <c r="AQ400" s="32">
        <f t="shared" si="350"/>
        <v>11.0340649927181</v>
      </c>
      <c r="AR400" s="31">
        <f t="shared" si="351"/>
        <v>-56.6769903074929</v>
      </c>
      <c r="AS400" t="str">
        <f t="shared" si="327"/>
        <v>-0,0000504684572142411</v>
      </c>
      <c r="AT400" t="str">
        <f t="shared" si="328"/>
        <v>0,0932787979331488i</v>
      </c>
      <c r="AU400">
        <f t="shared" si="352"/>
        <v>0.0932787979331488</v>
      </c>
      <c r="AV400">
        <f t="shared" si="353"/>
        <v>1.5707963267949</v>
      </c>
      <c r="AW400" t="str">
        <f t="shared" si="329"/>
        <v>1+4,77570336391141i</v>
      </c>
      <c r="AX400">
        <f t="shared" si="354"/>
        <v>4.87927685421464</v>
      </c>
      <c r="AY400">
        <f t="shared" si="355"/>
        <v>1.36438533564385</v>
      </c>
      <c r="AZ400" t="str">
        <f t="shared" si="330"/>
        <v>1+228,319265078913i</v>
      </c>
      <c r="BA400">
        <f t="shared" si="356"/>
        <v>228.32145498436</v>
      </c>
      <c r="BB400">
        <f t="shared" si="357"/>
        <v>1.5664165229031</v>
      </c>
      <c r="BC400" s="30" t="str">
        <f t="shared" si="358"/>
        <v>-0,00508028799119347+0,024802998058873i</v>
      </c>
      <c r="BD400" s="32">
        <f t="shared" si="359"/>
        <v>-31.9314329926042</v>
      </c>
      <c r="BE400" s="31">
        <f t="shared" si="360"/>
        <v>101.575534359972</v>
      </c>
      <c r="BF400" s="30" t="str">
        <f t="shared" si="361"/>
        <v>0,0316846100061836-0,027765790868441i</v>
      </c>
      <c r="BG400" s="68">
        <f t="shared" si="362"/>
        <v>-27.5083745104268</v>
      </c>
      <c r="BH400" s="31">
        <f t="shared" si="363"/>
        <v>-41.2286639956757</v>
      </c>
      <c r="BI400" s="30" t="str">
        <f t="shared" si="369"/>
        <v>0,063882847315883+0,0636570071159204i</v>
      </c>
      <c r="BJ400" s="68">
        <f t="shared" si="364"/>
        <v>-20.8973679998861</v>
      </c>
      <c r="BK400" s="31">
        <f t="shared" si="370"/>
        <v>44.8985440524794</v>
      </c>
      <c r="BL400" s="32">
        <f t="shared" si="365"/>
        <v>-27.5083745104268</v>
      </c>
      <c r="BM400" s="31">
        <f t="shared" si="366"/>
        <v>-41.2286639956757</v>
      </c>
      <c r="BO400">
        <f t="shared" si="367"/>
        <v>0</v>
      </c>
      <c r="BP400">
        <f t="shared" si="368"/>
        <v>0</v>
      </c>
    </row>
    <row r="401" spans="14:68">
      <c r="N401" s="7">
        <v>83</v>
      </c>
      <c r="O401" s="18">
        <f t="shared" si="371"/>
        <v>67608.2975391983</v>
      </c>
      <c r="P401" s="86" t="str">
        <f t="shared" si="319"/>
        <v>163,636363636364</v>
      </c>
      <c r="Q401" s="4" t="str">
        <f t="shared" si="320"/>
        <v>1+2595,1140935494i</v>
      </c>
      <c r="R401" s="4">
        <f t="shared" si="331"/>
        <v>2595.11428621915</v>
      </c>
      <c r="S401" s="4">
        <f t="shared" si="332"/>
        <v>1.57041098730135</v>
      </c>
      <c r="T401" s="4" t="str">
        <f t="shared" si="321"/>
        <v>1+6,66079284011013i</v>
      </c>
      <c r="U401" s="4">
        <f t="shared" si="333"/>
        <v>6.7354406877993</v>
      </c>
      <c r="V401" s="4">
        <f t="shared" si="334"/>
        <v>1.42177701480753</v>
      </c>
      <c r="W401" t="str">
        <f t="shared" si="322"/>
        <v>1-6,37193192612576i</v>
      </c>
      <c r="X401" s="4">
        <f t="shared" si="335"/>
        <v>6.44992375700525</v>
      </c>
      <c r="Y401" s="4">
        <f t="shared" si="336"/>
        <v>-1.4151277843708</v>
      </c>
      <c r="Z401" t="str">
        <f t="shared" si="323"/>
        <v>0,962686678398785+1,31990018469748i</v>
      </c>
      <c r="AA401" s="4">
        <f t="shared" si="337"/>
        <v>1.63367748908128</v>
      </c>
      <c r="AB401" s="4">
        <f t="shared" si="338"/>
        <v>0.940634089625533</v>
      </c>
      <c r="AC401" s="67" t="str">
        <f t="shared" si="339"/>
        <v>-1,34774456959809-0,997594809783741i</v>
      </c>
      <c r="AD401" s="68">
        <f t="shared" si="340"/>
        <v>4.48955207405526</v>
      </c>
      <c r="AE401" s="31">
        <f t="shared" si="341"/>
        <v>-143.491312233979</v>
      </c>
      <c r="AF401" s="32" t="str">
        <f t="shared" si="342"/>
        <v>748,315388573934</v>
      </c>
      <c r="AG401" s="32" t="str">
        <f t="shared" si="324"/>
        <v>1+2114,53740955877i</v>
      </c>
      <c r="AH401" s="32">
        <f t="shared" si="343"/>
        <v>2114.53764601709</v>
      </c>
      <c r="AI401" s="32">
        <f t="shared" si="344"/>
        <v>1.57032341015557</v>
      </c>
      <c r="AJ401" s="32" t="str">
        <f t="shared" si="325"/>
        <v>1+6,66079284011013i</v>
      </c>
      <c r="AK401" s="32">
        <f t="shared" si="345"/>
        <v>6.7354406877993</v>
      </c>
      <c r="AL401" s="32">
        <f t="shared" si="346"/>
        <v>1.42177701480753</v>
      </c>
      <c r="AM401" s="32" t="str">
        <f t="shared" si="326"/>
        <v>1-1,13531362663853i</v>
      </c>
      <c r="AN401" s="32">
        <f t="shared" si="347"/>
        <v>1.51292333937683</v>
      </c>
      <c r="AO401" s="32">
        <f t="shared" si="348"/>
        <v>-0.848682982283721</v>
      </c>
      <c r="AP401" s="30" t="str">
        <f t="shared" si="349"/>
        <v>1,95684891894152-3,02911927028135i</v>
      </c>
      <c r="AQ401" s="32">
        <f t="shared" si="350"/>
        <v>11.1410438707572</v>
      </c>
      <c r="AR401" s="31">
        <f t="shared" si="351"/>
        <v>-57.1370345447579</v>
      </c>
      <c r="AS401" t="str">
        <f t="shared" si="327"/>
        <v>-0,0000504684572142411</v>
      </c>
      <c r="AT401" t="str">
        <f t="shared" si="328"/>
        <v>0,0954515402533637i</v>
      </c>
      <c r="AU401">
        <f t="shared" si="352"/>
        <v>0.0954515402533637</v>
      </c>
      <c r="AV401">
        <f t="shared" si="353"/>
        <v>1.5707963267949</v>
      </c>
      <c r="AW401" t="str">
        <f t="shared" si="329"/>
        <v>1+4,88694378550218i</v>
      </c>
      <c r="AX401">
        <f t="shared" si="354"/>
        <v>4.98820805126033</v>
      </c>
      <c r="AY401">
        <f t="shared" si="355"/>
        <v>1.36895583990437</v>
      </c>
      <c r="AZ401" t="str">
        <f t="shared" si="330"/>
        <v>1+233,637503957944i</v>
      </c>
      <c r="BA401">
        <f t="shared" si="356"/>
        <v>233.639644015519</v>
      </c>
      <c r="BB401">
        <f t="shared" si="357"/>
        <v>1.56651621817959</v>
      </c>
      <c r="BC401" s="30" t="str">
        <f t="shared" si="358"/>
        <v>-0,00486082668430856+0,0242833205742592i</v>
      </c>
      <c r="BD401" s="32">
        <f t="shared" si="359"/>
        <v>-32.1232187014424</v>
      </c>
      <c r="BE401" s="31">
        <f t="shared" si="360"/>
        <v>101.319375874178</v>
      </c>
      <c r="BF401" s="30" t="str">
        <f t="shared" si="361"/>
        <v>0,0307760673367301-0,0278785779642429i</v>
      </c>
      <c r="BG401" s="68">
        <f t="shared" si="362"/>
        <v>-27.6336666273872</v>
      </c>
      <c r="BH401" s="31">
        <f t="shared" si="363"/>
        <v>-42.171936359801</v>
      </c>
      <c r="BI401" s="30" t="str">
        <f t="shared" si="369"/>
        <v>0,0640451708555568+0,0622428133929863i</v>
      </c>
      <c r="BJ401" s="68">
        <f t="shared" si="364"/>
        <v>-20.9821748306852</v>
      </c>
      <c r="BK401" s="31">
        <f t="shared" si="370"/>
        <v>44.1823413294201</v>
      </c>
      <c r="BL401" s="32">
        <f t="shared" si="365"/>
        <v>-27.6336666273872</v>
      </c>
      <c r="BM401" s="31">
        <f t="shared" si="366"/>
        <v>-42.171936359801</v>
      </c>
      <c r="BO401">
        <f t="shared" si="367"/>
        <v>0</v>
      </c>
      <c r="BP401">
        <f t="shared" si="368"/>
        <v>0</v>
      </c>
    </row>
    <row r="402" spans="14:68">
      <c r="N402" s="7">
        <v>84</v>
      </c>
      <c r="O402" s="18">
        <f t="shared" si="371"/>
        <v>69183.0970918937</v>
      </c>
      <c r="P402" s="86" t="str">
        <f t="shared" si="319"/>
        <v>163,636363636364</v>
      </c>
      <c r="Q402" s="4" t="str">
        <f t="shared" si="320"/>
        <v>1+2655,56206609812i</v>
      </c>
      <c r="R402" s="4">
        <f t="shared" si="331"/>
        <v>2655.56225438217</v>
      </c>
      <c r="S402" s="4">
        <f t="shared" si="332"/>
        <v>1.57041975869826</v>
      </c>
      <c r="T402" s="4" t="str">
        <f t="shared" si="321"/>
        <v>1+6,81594263631849i</v>
      </c>
      <c r="U402" s="4">
        <f t="shared" si="333"/>
        <v>6.88890949436732</v>
      </c>
      <c r="V402" s="4">
        <f t="shared" si="334"/>
        <v>1.42512077808273</v>
      </c>
      <c r="W402" t="str">
        <f t="shared" si="322"/>
        <v>1-6,52035328729448i</v>
      </c>
      <c r="X402" s="4">
        <f t="shared" si="335"/>
        <v>6.59659055809377</v>
      </c>
      <c r="Y402" s="4">
        <f t="shared" si="336"/>
        <v>-1.41861615949772</v>
      </c>
      <c r="Z402" t="str">
        <f t="shared" si="323"/>
        <v>0,960928155728764+1,350644609511i</v>
      </c>
      <c r="AA402" s="4">
        <f t="shared" si="337"/>
        <v>1.65759578355925</v>
      </c>
      <c r="AB402" s="4">
        <f t="shared" si="338"/>
        <v>0.952421140503845</v>
      </c>
      <c r="AC402" s="67" t="str">
        <f t="shared" si="339"/>
        <v>-1,36973154832244-0,988774055267453i</v>
      </c>
      <c r="AD402" s="68">
        <f t="shared" si="340"/>
        <v>4.55429414900548</v>
      </c>
      <c r="AE402" s="31">
        <f t="shared" si="341"/>
        <v>-144.175448715006</v>
      </c>
      <c r="AF402" s="32" t="str">
        <f t="shared" si="342"/>
        <v>748,315388573934</v>
      </c>
      <c r="AG402" s="32" t="str">
        <f t="shared" si="324"/>
        <v>1+2163,79131311698i</v>
      </c>
      <c r="AH402" s="32">
        <f t="shared" si="343"/>
        <v>2163.79154419286</v>
      </c>
      <c r="AI402" s="32">
        <f t="shared" si="344"/>
        <v>1.57033417505099</v>
      </c>
      <c r="AJ402" s="32" t="str">
        <f t="shared" si="325"/>
        <v>1+6,81594263631849i</v>
      </c>
      <c r="AK402" s="32">
        <f t="shared" si="345"/>
        <v>6.88890949436732</v>
      </c>
      <c r="AL402" s="32">
        <f t="shared" si="346"/>
        <v>1.42512077808273</v>
      </c>
      <c r="AM402" s="32" t="str">
        <f t="shared" si="326"/>
        <v>1-1,16175847818005i</v>
      </c>
      <c r="AN402" s="32">
        <f t="shared" si="347"/>
        <v>1.5328674964338</v>
      </c>
      <c r="AO402" s="32">
        <f t="shared" si="348"/>
        <v>-0.860086241783525</v>
      </c>
      <c r="AP402" s="30" t="str">
        <f t="shared" si="349"/>
        <v>1,95684140616054-3,08342043184922i</v>
      </c>
      <c r="AQ402" s="32">
        <f t="shared" si="350"/>
        <v>11.2504870282497</v>
      </c>
      <c r="AR402" s="31">
        <f t="shared" si="351"/>
        <v>-57.5994264465036</v>
      </c>
      <c r="AS402" t="str">
        <f t="shared" si="327"/>
        <v>-0,0000504684572142411</v>
      </c>
      <c r="AT402" t="str">
        <f t="shared" si="328"/>
        <v>0,0976748922436713i</v>
      </c>
      <c r="AU402">
        <f t="shared" si="352"/>
        <v>0.0976748922436713</v>
      </c>
      <c r="AV402">
        <f t="shared" si="353"/>
        <v>1.5707963267949</v>
      </c>
      <c r="AW402" t="str">
        <f t="shared" si="329"/>
        <v>1+5,00077532937434i</v>
      </c>
      <c r="AX402">
        <f t="shared" si="354"/>
        <v>5.09977978886138</v>
      </c>
      <c r="AY402">
        <f t="shared" si="355"/>
        <v>1.37343058285995</v>
      </c>
      <c r="AZ402" t="str">
        <f t="shared" si="330"/>
        <v>1+239,07962053413i</v>
      </c>
      <c r="BA402">
        <f t="shared" si="356"/>
        <v>239.081711878478</v>
      </c>
      <c r="BB402">
        <f t="shared" si="357"/>
        <v>1.56661364419674</v>
      </c>
      <c r="BC402" s="30" t="str">
        <f t="shared" si="358"/>
        <v>-0,00465046529215306+0,0237726304690361i</v>
      </c>
      <c r="BD402" s="32">
        <f t="shared" si="359"/>
        <v>-32.3153595709057</v>
      </c>
      <c r="BE402" s="31">
        <f t="shared" si="360"/>
        <v>101.068574088015</v>
      </c>
      <c r="BF402" s="30" t="str">
        <f t="shared" si="361"/>
        <v>0,029875649258284-0,0279638625142473i</v>
      </c>
      <c r="BG402" s="68">
        <f t="shared" si="362"/>
        <v>-27.7610654219002</v>
      </c>
      <c r="BH402" s="31">
        <f t="shared" si="363"/>
        <v>-43.1068746269915</v>
      </c>
      <c r="BI402" s="30" t="str">
        <f t="shared" si="369"/>
        <v>0,0642007914654296+0,0608586073345939i</v>
      </c>
      <c r="BJ402" s="68">
        <f t="shared" si="364"/>
        <v>-21.064872542656</v>
      </c>
      <c r="BK402" s="31">
        <f t="shared" si="370"/>
        <v>43.4691476415113</v>
      </c>
      <c r="BL402" s="32">
        <f t="shared" si="365"/>
        <v>-27.7610654219002</v>
      </c>
      <c r="BM402" s="31">
        <f t="shared" si="366"/>
        <v>-43.1068746269915</v>
      </c>
      <c r="BO402">
        <f t="shared" si="367"/>
        <v>0</v>
      </c>
      <c r="BP402">
        <f t="shared" si="368"/>
        <v>0</v>
      </c>
    </row>
    <row r="403" spans="14:68">
      <c r="N403" s="7">
        <v>85</v>
      </c>
      <c r="O403" s="18">
        <f t="shared" si="371"/>
        <v>70794.5784384138</v>
      </c>
      <c r="P403" s="86" t="str">
        <f t="shared" ref="P403:P466" si="372">COMPLEX(Adc,0)</f>
        <v>163,636363636364</v>
      </c>
      <c r="Q403" s="4" t="str">
        <f t="shared" ref="Q403:Q466" si="373">IMSUM(COMPLEX(1,0),IMDIV(COMPLEX(0,2*PI()*O403),COMPLEX(wp_lf,0)))</f>
        <v>1+2717,4180528048i</v>
      </c>
      <c r="R403" s="4">
        <f t="shared" si="331"/>
        <v>2717.41823680298</v>
      </c>
      <c r="S403" s="4">
        <f t="shared" si="332"/>
        <v>1.57042833043386</v>
      </c>
      <c r="T403" s="4" t="str">
        <f t="shared" ref="T403:T466" si="374">IMSUM(COMPLEX(1,0),IMDIV(COMPLEX(0,2*PI()*O403),COMPLEX(wz_esr,0)))</f>
        <v>1+6,97470633553232i</v>
      </c>
      <c r="U403" s="4">
        <f t="shared" si="333"/>
        <v>7.04602926951873</v>
      </c>
      <c r="V403" s="4">
        <f t="shared" si="334"/>
        <v>1.42839160122457</v>
      </c>
      <c r="W403" t="str">
        <f t="shared" ref="W403:W466" si="375">IMSUB(COMPLEX(1,0),IMDIV(COMPLEX(0,2*PI()*O403),COMPLEX(wz_rhp,0)))</f>
        <v>1-6,67223182608322i</v>
      </c>
      <c r="X403" s="4">
        <f t="shared" si="335"/>
        <v>6.74675311101554</v>
      </c>
      <c r="Y403" s="4">
        <f t="shared" si="336"/>
        <v>-1.42202874000948</v>
      </c>
      <c r="Z403" t="str">
        <f t="shared" ref="Z403:Z466" si="376">IMSUM(COMPLEX(1,0),IMDIV(COMPLEX(0,2*PI()*O403),COMPLEX(Q*(wsl/2),0)),IMDIV(IMPOWER(COMPLEX(0,2*PI()*O403),2),IMPOWER(COMPLEX(wsl/2,0),2)))</f>
        <v>0,95908675643859+1,38210516397438i</v>
      </c>
      <c r="AA403" s="4">
        <f t="shared" si="337"/>
        <v>1.68227883855815</v>
      </c>
      <c r="AB403" s="4">
        <f t="shared" si="338"/>
        <v>0.964154584956777</v>
      </c>
      <c r="AC403" s="67" t="str">
        <f t="shared" si="339"/>
        <v>-1,39144042492858-0,979505620968115i</v>
      </c>
      <c r="AD403" s="68">
        <f t="shared" si="340"/>
        <v>4.61729226480043</v>
      </c>
      <c r="AE403" s="31">
        <f t="shared" si="341"/>
        <v>-144.856338784595</v>
      </c>
      <c r="AF403" s="32" t="str">
        <f t="shared" si="342"/>
        <v>748,315388573934</v>
      </c>
      <c r="AG403" s="32" t="str">
        <f t="shared" ref="AG403:AG466" si="377">IMSUM(COMPLEX(1,0),IMDIV(COMPLEX(0,2*PI()*O403),COMPLEX(wp_lf_DCM,0)))</f>
        <v>1+2214,19248747058i</v>
      </c>
      <c r="AH403" s="32">
        <f t="shared" si="343"/>
        <v>2214.19271328653</v>
      </c>
      <c r="AI403" s="32">
        <f t="shared" si="344"/>
        <v>1.57034469490757</v>
      </c>
      <c r="AJ403" s="32" t="str">
        <f t="shared" ref="AJ403:AJ466" si="378">IMSUM(COMPLEX(1,0),IMDIV(COMPLEX(0,2*PI()*O403),COMPLEX(wz1_dcm,0)))</f>
        <v>1+6,97470633553232i</v>
      </c>
      <c r="AK403" s="32">
        <f t="shared" si="345"/>
        <v>7.04602926951873</v>
      </c>
      <c r="AL403" s="32">
        <f t="shared" si="346"/>
        <v>1.42839160122457</v>
      </c>
      <c r="AM403" s="32" t="str">
        <f t="shared" ref="AM403:AM466" si="379">IMSUB(COMPLEX(1,0),IMDIV(COMPLEX(0,2*PI()*O403),COMPLEX(wz2_dcm,0)))</f>
        <v>1-1,1888193094444i</v>
      </c>
      <c r="AN403" s="32">
        <f t="shared" si="347"/>
        <v>1.55347718055588</v>
      </c>
      <c r="AO403" s="32">
        <f t="shared" si="348"/>
        <v>-0.871450497242003</v>
      </c>
      <c r="AP403" s="30" t="str">
        <f t="shared" si="349"/>
        <v>1,95683423151026-3,13935646343134i</v>
      </c>
      <c r="AQ403" s="32">
        <f t="shared" si="350"/>
        <v>11.3623716032062</v>
      </c>
      <c r="AR403" s="31">
        <f t="shared" si="351"/>
        <v>-58.0637487034053</v>
      </c>
      <c r="AS403" t="str">
        <f t="shared" ref="AS403:AS466" si="380">COMPLEX(Adc_ea,0)</f>
        <v>-0,0000504684572142411</v>
      </c>
      <c r="AT403" t="str">
        <f t="shared" ref="AT403:AT466" si="381">COMPLEX(0,2*PI()*O403*wp0_ea)</f>
        <v>0,0999500327547266i</v>
      </c>
      <c r="AU403">
        <f t="shared" si="352"/>
        <v>0.0999500327547266</v>
      </c>
      <c r="AV403">
        <f t="shared" si="353"/>
        <v>1.5707963267949</v>
      </c>
      <c r="AW403" t="str">
        <f t="shared" ref="AW403:AW466" si="382">IMSUM(COMPLEX(1,0),IMDIV(COMPLEX(0,2*PI()*O403),COMPLEX(wp1_ea,0)))</f>
        <v>1+5,11725835051924i</v>
      </c>
      <c r="AX403">
        <f t="shared" si="354"/>
        <v>5.21405149820741</v>
      </c>
      <c r="AY403">
        <f t="shared" si="355"/>
        <v>1.37781121994472</v>
      </c>
      <c r="AZ403" t="str">
        <f t="shared" ref="AZ403:AZ466" si="383">IMSUM(COMPLEX(1,0),IMDIV(COMPLEX(0,2*PI()*O403),COMPLEX(wz_ea,0)))</f>
        <v>1+244,648500289717i</v>
      </c>
      <c r="BA403">
        <f t="shared" si="356"/>
        <v>244.650544029658</v>
      </c>
      <c r="BB403">
        <f t="shared" si="357"/>
        <v>1.56670885260372</v>
      </c>
      <c r="BC403" s="30" t="str">
        <f t="shared" si="358"/>
        <v>-0,00444885879605412+0,0232708966995782i</v>
      </c>
      <c r="BD403" s="32">
        <f t="shared" si="359"/>
        <v>-32.5078408476477</v>
      </c>
      <c r="BE403" s="31">
        <f t="shared" si="360"/>
        <v>100.823037111373</v>
      </c>
      <c r="BF403" s="30" t="str">
        <f t="shared" si="361"/>
        <v>0,028984296095834-0,0280223841945017i</v>
      </c>
      <c r="BG403" s="68">
        <f t="shared" si="362"/>
        <v>-27.8905485828472</v>
      </c>
      <c r="BH403" s="31">
        <f t="shared" si="363"/>
        <v>-44.0333016732223</v>
      </c>
      <c r="BI403" s="30" t="str">
        <f t="shared" si="369"/>
        <v>0,0643499607803896+0,0595038408759596i</v>
      </c>
      <c r="BJ403" s="68">
        <f t="shared" si="364"/>
        <v>-21.1454692444415</v>
      </c>
      <c r="BK403" s="31">
        <f t="shared" si="370"/>
        <v>42.7592884079675</v>
      </c>
      <c r="BL403" s="32">
        <f t="shared" si="365"/>
        <v>-27.8905485828472</v>
      </c>
      <c r="BM403" s="31">
        <f t="shared" si="366"/>
        <v>-44.0333016732223</v>
      </c>
      <c r="BO403">
        <f t="shared" si="367"/>
        <v>0</v>
      </c>
      <c r="BP403">
        <f t="shared" si="368"/>
        <v>0</v>
      </c>
    </row>
    <row r="404" spans="14:68">
      <c r="N404" s="7">
        <v>86</v>
      </c>
      <c r="O404" s="18">
        <f t="shared" si="371"/>
        <v>72443.5960074991</v>
      </c>
      <c r="P404" s="86" t="str">
        <f t="shared" si="372"/>
        <v>163,636363636364</v>
      </c>
      <c r="Q404" s="4" t="str">
        <f t="shared" si="373"/>
        <v>1+2780,71485053237i</v>
      </c>
      <c r="R404" s="4">
        <f t="shared" ref="R404:R467" si="384">IMABS(Q404)</f>
        <v>2780.71503034224</v>
      </c>
      <c r="S404" s="4">
        <f t="shared" ref="S404:S467" si="385">IMARGUMENT(Q404)</f>
        <v>1.57043670705298</v>
      </c>
      <c r="T404" s="4" t="str">
        <f t="shared" si="374"/>
        <v>1+7,13716811636641i</v>
      </c>
      <c r="U404" s="4">
        <f t="shared" ref="U404:U467" si="386">IMABS(T404)</f>
        <v>7.20688342636935</v>
      </c>
      <c r="V404" s="4">
        <f t="shared" ref="V404:V467" si="387">IMARGUMENT(T404)</f>
        <v>1.43159093838336</v>
      </c>
      <c r="W404" t="str">
        <f t="shared" si="375"/>
        <v>1-6,82764807050359i</v>
      </c>
      <c r="X404" s="4">
        <f t="shared" ref="X404:X467" si="388">IMABS(W404)</f>
        <v>6.90049115459555</v>
      </c>
      <c r="Y404" s="4">
        <f t="shared" ref="Y404:Y467" si="389">IMARGUMENT(W404)</f>
        <v>-1.42536701720206</v>
      </c>
      <c r="Z404" t="str">
        <f t="shared" si="376"/>
        <v>0,957158574673488+1,41429852889003i</v>
      </c>
      <c r="AA404" s="4">
        <f t="shared" ref="AA404:AA467" si="390">IMABS(Z404)</f>
        <v>1.70774496511964</v>
      </c>
      <c r="AB404" s="4">
        <f t="shared" ref="AB404:AB467" si="391">IMARGUMENT(Z404)</f>
        <v>0.9758298623353</v>
      </c>
      <c r="AC404" s="67" t="str">
        <f t="shared" ref="AC404:AC467" si="392">(IMDIV(IMPRODUCT(P404,T404,W404),IMPRODUCT(Q404,Z404)))</f>
        <v>-1,41285342861711-0,9698033630521i</v>
      </c>
      <c r="AD404" s="68">
        <f t="shared" ref="AD404:AD467" si="393">20*LOG(IMABS(AC404))</f>
        <v>4.67855645579765</v>
      </c>
      <c r="AE404" s="31">
        <f t="shared" ref="AE404:AE467" si="394">(180/PI())*IMARGUMENT(AC404)</f>
        <v>-145.533723525493</v>
      </c>
      <c r="AF404" s="32" t="str">
        <f t="shared" ref="AF404:AF467" si="395">COMPLEX($B$68,0)</f>
        <v>748,315388573934</v>
      </c>
      <c r="AG404" s="32" t="str">
        <f t="shared" si="377"/>
        <v>1+2265,76765598934i</v>
      </c>
      <c r="AH404" s="32">
        <f t="shared" ref="AH404:AH467" si="396">IMABS(AG404)</f>
        <v>2265.76787666509</v>
      </c>
      <c r="AI404" s="32">
        <f t="shared" ref="AI404:AI467" si="397">IMARGUMENT(AG404)</f>
        <v>1.57035497530308</v>
      </c>
      <c r="AJ404" s="32" t="str">
        <f t="shared" si="378"/>
        <v>1+7,13716811636641i</v>
      </c>
      <c r="AK404" s="32">
        <f t="shared" ref="AK404:AK467" si="398">IMABS(AJ404)</f>
        <v>7.20688342636935</v>
      </c>
      <c r="AL404" s="32">
        <f t="shared" ref="AL404:AL467" si="399">IMARGUMENT(AJ404)</f>
        <v>1.43159093838336</v>
      </c>
      <c r="AM404" s="32" t="str">
        <f t="shared" si="379"/>
        <v>1-1,2165104684425i</v>
      </c>
      <c r="AN404" s="32">
        <f t="shared" ref="AN404:AN467" si="400">IMABS(AM404)</f>
        <v>1.57476910048114</v>
      </c>
      <c r="AO404" s="32">
        <f t="shared" ref="AO404:AO467" si="401">IMARGUMENT(AM404)</f>
        <v>-0.882770033763</v>
      </c>
      <c r="AP404" s="30" t="str">
        <f t="shared" ref="AP404:AP467" si="402">(IMDIV(IMPRODUCT(AF404,AJ404,AM404),IMPRODUCT(AG404)))</f>
        <v>1,95682737977232-3,19695702307292i</v>
      </c>
      <c r="AQ404" s="32">
        <f t="shared" ref="AQ404:AQ467" si="403">20*LOG(IMABS(AP404))</f>
        <v>11.4766728592564</v>
      </c>
      <c r="AR404" s="31">
        <f t="shared" ref="AR404:AR467" si="404">(180/PI())*IMARGUMENT(AP404)</f>
        <v>-58.5295908789387</v>
      </c>
      <c r="AS404" t="str">
        <f t="shared" si="380"/>
        <v>-0,0000504684572142411</v>
      </c>
      <c r="AT404" t="str">
        <f t="shared" si="381"/>
        <v>0,102278168096144i</v>
      </c>
      <c r="AU404">
        <f t="shared" ref="AU404:AU467" si="405">IMABS(AT404)</f>
        <v>0.102278168096144</v>
      </c>
      <c r="AV404">
        <f t="shared" ref="AV404:AV467" si="406">IMARGUMENT(AT404)</f>
        <v>1.5707963267949</v>
      </c>
      <c r="AW404" t="str">
        <f t="shared" si="382"/>
        <v>1+5,23645460977652i</v>
      </c>
      <c r="AX404">
        <f t="shared" ref="AX404:AX467" si="407">IMABS(AW404)</f>
        <v>5.33108402487241</v>
      </c>
      <c r="AY404">
        <f t="shared" ref="AY404:AY467" si="408">IMARGUMENT(AW404)</f>
        <v>1.38209940099393</v>
      </c>
      <c r="AZ404" t="str">
        <f t="shared" si="383"/>
        <v>1+250,347095918464i</v>
      </c>
      <c r="BA404">
        <f t="shared" ref="BA404:BA467" si="409">IMABS(AZ404)</f>
        <v>250.34909313758</v>
      </c>
      <c r="BB404">
        <f t="shared" ref="BB404:BB467" si="410">IMARGUMENT(AZ404)</f>
        <v>1.56680189387436</v>
      </c>
      <c r="BC404" s="30" t="str">
        <f t="shared" ref="BC404:BC467" si="411">IMPRODUCT(AS404,IMDIV(AZ404,IMPRODUCT(AT404,AW404)))</f>
        <v>-0,00425567250113576+0,0227780789949397i</v>
      </c>
      <c r="BD404" s="32">
        <f t="shared" ref="BD404:BD467" si="412">20*LOG(IMABS(BC404))</f>
        <v>-32.7006483399608</v>
      </c>
      <c r="BE404" s="31">
        <f t="shared" ref="BE404:BE467" si="413">(180/PI())*IMARGUMENT(BC404)</f>
        <v>100.582673307594</v>
      </c>
      <c r="BF404" s="30" t="str">
        <f t="shared" ref="BF404:BF467" si="414">IMPRODUCT(AC404,BC404)</f>
        <v>0,0281028990974601-0,0280549215016621i</v>
      </c>
      <c r="BG404" s="68">
        <f t="shared" ref="BG404:BG467" si="415">20*LOG(IMABS(BF404))</f>
        <v>-28.0220918841632</v>
      </c>
      <c r="BH404" s="31">
        <f t="shared" ref="BH404:BH467" si="416">(180/PI())*IMARGUMENT(BF404)</f>
        <v>-44.9510502178987</v>
      </c>
      <c r="BI404" s="30" t="str">
        <f t="shared" si="369"/>
        <v>0,0644929231454156+0,058177970726319i</v>
      </c>
      <c r="BJ404" s="68">
        <f t="shared" ref="BJ404:BJ467" si="417">20*LOG(IMABS(BI404))</f>
        <v>-21.2239754807044</v>
      </c>
      <c r="BK404" s="31">
        <f t="shared" si="370"/>
        <v>42.0530824286555</v>
      </c>
      <c r="BL404" s="32">
        <f t="shared" ref="BL404:BL467" si="418">IF($B$31=0,BJ404,BG404)</f>
        <v>-28.0220918841632</v>
      </c>
      <c r="BM404" s="31">
        <f t="shared" ref="BM404:BM467" si="419">IF($B$31=0,BK404,BH404)</f>
        <v>-44.9510502178987</v>
      </c>
      <c r="BO404">
        <f t="shared" ref="BO404:BO467" si="420">SUM((BL405&lt;0)*(BL404&gt;0))*O404</f>
        <v>0</v>
      </c>
      <c r="BP404">
        <f t="shared" ref="BP404:BP467" si="421">IF(BO404&gt;0,BM404,0)</f>
        <v>0</v>
      </c>
    </row>
    <row r="405" spans="14:68">
      <c r="N405" s="7">
        <v>87</v>
      </c>
      <c r="O405" s="18">
        <f t="shared" si="371"/>
        <v>74131.0241300919</v>
      </c>
      <c r="P405" s="86" t="str">
        <f t="shared" si="372"/>
        <v>163,636363636364</v>
      </c>
      <c r="Q405" s="4" t="str">
        <f t="shared" si="373"/>
        <v>1+2845,4860200808i</v>
      </c>
      <c r="R405" s="4">
        <f t="shared" si="384"/>
        <v>2845.4861957977</v>
      </c>
      <c r="S405" s="4">
        <f t="shared" si="385"/>
        <v>1.57044489299702</v>
      </c>
      <c r="T405" s="4" t="str">
        <f t="shared" si="374"/>
        <v>1+7,30341411820739i</v>
      </c>
      <c r="U405" s="4">
        <f t="shared" si="386"/>
        <v>7.37155735120002</v>
      </c>
      <c r="V405" s="4">
        <f t="shared" si="387"/>
        <v>1.4347202237718</v>
      </c>
      <c r="W405" t="str">
        <f t="shared" si="375"/>
        <v>1-6,98668442430554i</v>
      </c>
      <c r="X405" s="4">
        <f t="shared" si="388"/>
        <v>7.05788631566375</v>
      </c>
      <c r="Y405" s="4">
        <f t="shared" si="389"/>
        <v>-1.42863246330321</v>
      </c>
      <c r="Z405" t="str">
        <f t="shared" si="376"/>
        <v>0,955139520501418+1,44724177360615i</v>
      </c>
      <c r="AA405" s="4">
        <f t="shared" si="390"/>
        <v>1.73401276087991</v>
      </c>
      <c r="AB405" s="4">
        <f t="shared" si="391"/>
        <v>0.987442596575193</v>
      </c>
      <c r="AC405" s="67" t="str">
        <f t="shared" si="392"/>
        <v>-1,43395385725321-0,95968190549097i</v>
      </c>
      <c r="AD405" s="68">
        <f t="shared" si="393"/>
        <v>4.73809910238525</v>
      </c>
      <c r="AE405" s="31">
        <f t="shared" si="394"/>
        <v>-146.207354640265</v>
      </c>
      <c r="AF405" s="32" t="str">
        <f t="shared" si="395"/>
        <v>748,315388573934</v>
      </c>
      <c r="AG405" s="32" t="str">
        <f t="shared" si="377"/>
        <v>1+2318,54416451028i</v>
      </c>
      <c r="AH405" s="32">
        <f t="shared" si="396"/>
        <v>2318.54438016284</v>
      </c>
      <c r="AI405" s="32">
        <f t="shared" si="397"/>
        <v>1.57036502168831</v>
      </c>
      <c r="AJ405" s="32" t="str">
        <f t="shared" si="378"/>
        <v>1+7,30341411820739i</v>
      </c>
      <c r="AK405" s="32">
        <f t="shared" si="398"/>
        <v>7.37155735120002</v>
      </c>
      <c r="AL405" s="32">
        <f t="shared" si="399"/>
        <v>1.4347202237718</v>
      </c>
      <c r="AM405" s="32" t="str">
        <f t="shared" si="379"/>
        <v>1-1,24484663739339i</v>
      </c>
      <c r="AN405" s="32">
        <f t="shared" si="400"/>
        <v>1.59676020448583</v>
      </c>
      <c r="AO405" s="32">
        <f t="shared" si="401"/>
        <v>-0.894039250733269</v>
      </c>
      <c r="AP405" s="30" t="str">
        <f t="shared" si="402"/>
        <v>1,95682083641327-3,25625265137259i</v>
      </c>
      <c r="AQ405" s="32">
        <f t="shared" si="403"/>
        <v>11.5933642397898</v>
      </c>
      <c r="AR405" s="31">
        <f t="shared" si="404"/>
        <v>-58.9965502195757</v>
      </c>
      <c r="AS405" t="str">
        <f t="shared" si="380"/>
        <v>-0,0000504684572142411</v>
      </c>
      <c r="AT405" t="str">
        <f t="shared" si="381"/>
        <v>0,104660532676097i</v>
      </c>
      <c r="AU405">
        <f t="shared" si="405"/>
        <v>0.104660532676097</v>
      </c>
      <c r="AV405">
        <f t="shared" si="406"/>
        <v>1.5707963267949</v>
      </c>
      <c r="AW405" t="str">
        <f t="shared" si="382"/>
        <v>1+5,35842730658057i</v>
      </c>
      <c r="AX405">
        <f t="shared" si="407"/>
        <v>5.4509396621049</v>
      </c>
      <c r="AY405">
        <f t="shared" si="408"/>
        <v>1.38629676852792</v>
      </c>
      <c r="AZ405" t="str">
        <f t="shared" si="383"/>
        <v>1+256,178428891203i</v>
      </c>
      <c r="BA405">
        <f t="shared" si="409"/>
        <v>256.180380648412</v>
      </c>
      <c r="BB405">
        <f t="shared" si="410"/>
        <v>1.56689281733395</v>
      </c>
      <c r="BC405" s="30" t="str">
        <f t="shared" si="411"/>
        <v>-0,00407058197222825+0,0222941285658771i</v>
      </c>
      <c r="BD405" s="32">
        <f t="shared" si="412"/>
        <v>-32.8937684007696</v>
      </c>
      <c r="BE405" s="31">
        <f t="shared" si="413"/>
        <v>100.347391393324</v>
      </c>
      <c r="BF405" s="30" t="str">
        <f t="shared" si="414"/>
        <v>0,0272322985037037-0,0280622877875732i</v>
      </c>
      <c r="BG405" s="68">
        <f t="shared" si="415"/>
        <v>-28.1556692983843</v>
      </c>
      <c r="BH405" s="31">
        <f t="shared" si="416"/>
        <v>-45.8599632469403</v>
      </c>
      <c r="BI405" s="30" t="str">
        <f t="shared" si="369"/>
        <v>0,0646299156330942+0,0568804586470823i</v>
      </c>
      <c r="BJ405" s="68">
        <f t="shared" si="417"/>
        <v>-21.3004041609798</v>
      </c>
      <c r="BK405" s="31">
        <f t="shared" si="370"/>
        <v>41.3508411737486</v>
      </c>
      <c r="BL405" s="32">
        <f t="shared" si="418"/>
        <v>-28.1556692983843</v>
      </c>
      <c r="BM405" s="31">
        <f t="shared" si="419"/>
        <v>-45.8599632469403</v>
      </c>
      <c r="BO405">
        <f t="shared" si="420"/>
        <v>0</v>
      </c>
      <c r="BP405">
        <f t="shared" si="421"/>
        <v>0</v>
      </c>
    </row>
    <row r="406" spans="14:68">
      <c r="N406" s="7">
        <v>88</v>
      </c>
      <c r="O406" s="18">
        <f t="shared" si="371"/>
        <v>75857.7575029185</v>
      </c>
      <c r="P406" s="86" t="str">
        <f t="shared" si="372"/>
        <v>163,636363636364</v>
      </c>
      <c r="Q406" s="4" t="str">
        <f t="shared" si="373"/>
        <v>1+2911,76590398153i</v>
      </c>
      <c r="R406" s="4">
        <f t="shared" si="384"/>
        <v>2911.76607569863</v>
      </c>
      <c r="S406" s="4">
        <f t="shared" si="385"/>
        <v>1.57045289260628</v>
      </c>
      <c r="T406" s="4" t="str">
        <f t="shared" si="374"/>
        <v>1+7,47353248688593i</v>
      </c>
      <c r="U406" s="4">
        <f t="shared" si="386"/>
        <v>7.54013844916255</v>
      </c>
      <c r="V406" s="4">
        <f t="shared" si="387"/>
        <v>1.43778087130321</v>
      </c>
      <c r="W406" t="str">
        <f t="shared" si="375"/>
        <v>1-7,14942521066894i</v>
      </c>
      <c r="X406" s="4">
        <f t="shared" si="388"/>
        <v>7.21902215282296</v>
      </c>
      <c r="Y406" s="4">
        <f t="shared" si="389"/>
        <v>-1.43182653099128</v>
      </c>
      <c r="Z406" t="str">
        <f t="shared" si="376"/>
        <v>0,953025311237783+1,48095236506714i</v>
      </c>
      <c r="AA406" s="4">
        <f t="shared" si="390"/>
        <v>1.76110111903259</v>
      </c>
      <c r="AB406" s="4">
        <f t="shared" si="391"/>
        <v>0.998988604486208</v>
      </c>
      <c r="AC406" s="67" t="str">
        <f t="shared" si="392"/>
        <v>-1,4547261131546-0,949156552081117i</v>
      </c>
      <c r="AD406" s="68">
        <f t="shared" si="393"/>
        <v>4.7959347972199</v>
      </c>
      <c r="AE406" s="31">
        <f t="shared" si="394"/>
        <v>-146.876994919517</v>
      </c>
      <c r="AF406" s="32" t="str">
        <f t="shared" si="395"/>
        <v>748,315388573934</v>
      </c>
      <c r="AG406" s="32" t="str">
        <f t="shared" si="377"/>
        <v>1+2372,5499958368i</v>
      </c>
      <c r="AH406" s="32">
        <f t="shared" si="396"/>
        <v>2372.55020658051</v>
      </c>
      <c r="AI406" s="32">
        <f t="shared" si="397"/>
        <v>1.57037483938998</v>
      </c>
      <c r="AJ406" s="32" t="str">
        <f t="shared" si="378"/>
        <v>1+7,47353248688593i</v>
      </c>
      <c r="AK406" s="32">
        <f t="shared" si="398"/>
        <v>7.54013844916255</v>
      </c>
      <c r="AL406" s="32">
        <f t="shared" si="399"/>
        <v>1.43778087130321</v>
      </c>
      <c r="AM406" s="32" t="str">
        <f t="shared" si="379"/>
        <v>1-1,27384284050892i</v>
      </c>
      <c r="AN406" s="32">
        <f t="shared" si="400"/>
        <v>1.6194676848631</v>
      </c>
      <c r="AO406" s="32">
        <f t="shared" si="401"/>
        <v>-0.905252674838324</v>
      </c>
      <c r="AP406" s="30" t="str">
        <f t="shared" si="402"/>
        <v>1,95681458755377-3,31727478767551i</v>
      </c>
      <c r="AQ406" s="32">
        <f t="shared" si="403"/>
        <v>11.7124174303598</v>
      </c>
      <c r="AR406" s="31">
        <f t="shared" si="404"/>
        <v>-59.464232421429</v>
      </c>
      <c r="AS406" t="str">
        <f t="shared" si="380"/>
        <v>-0,0000504684572142411</v>
      </c>
      <c r="AT406" t="str">
        <f t="shared" si="381"/>
        <v>0,107098389655821i</v>
      </c>
      <c r="AU406">
        <f t="shared" si="405"/>
        <v>0.107098389655821</v>
      </c>
      <c r="AV406">
        <f t="shared" si="406"/>
        <v>1.5707963267949</v>
      </c>
      <c r="AW406" t="str">
        <f t="shared" si="382"/>
        <v>1+5,48324111246972i</v>
      </c>
      <c r="AX406">
        <f t="shared" si="407"/>
        <v>5.57368218482882</v>
      </c>
      <c r="AY406">
        <f t="shared" si="408"/>
        <v>1.39040495616861</v>
      </c>
      <c r="AZ406" t="str">
        <f t="shared" si="383"/>
        <v>1+262,145591057861i</v>
      </c>
      <c r="BA406">
        <f t="shared" si="409"/>
        <v>262.147498387979</v>
      </c>
      <c r="BB406">
        <f t="shared" si="410"/>
        <v>1.56698167118529</v>
      </c>
      <c r="BC406" s="30" t="str">
        <f t="shared" si="411"/>
        <v>-0,00389327294420821+0,0218189887801499i</v>
      </c>
      <c r="BD406" s="32">
        <f t="shared" si="412"/>
        <v>-33.0871879107505</v>
      </c>
      <c r="BE406" s="31">
        <f t="shared" si="413"/>
        <v>100.11710053074</v>
      </c>
      <c r="BF406" s="30" t="str">
        <f t="shared" si="414"/>
        <v>0,0263732819780416-0,0280453272170759i</v>
      </c>
      <c r="BG406" s="68">
        <f t="shared" si="415"/>
        <v>-28.2912531135306</v>
      </c>
      <c r="BH406" s="31">
        <f t="shared" si="416"/>
        <v>-46.7598943887772</v>
      </c>
      <c r="BI406" s="30" t="str">
        <f t="shared" si="369"/>
        <v>0,0647611680824111+0,0556107717100305i</v>
      </c>
      <c r="BJ406" s="68">
        <f t="shared" si="417"/>
        <v>-21.3747704803907</v>
      </c>
      <c r="BK406" s="31">
        <f t="shared" si="370"/>
        <v>40.6528681093112</v>
      </c>
      <c r="BL406" s="32">
        <f t="shared" si="418"/>
        <v>-28.2912531135306</v>
      </c>
      <c r="BM406" s="31">
        <f t="shared" si="419"/>
        <v>-46.7598943887772</v>
      </c>
      <c r="BO406">
        <f t="shared" si="420"/>
        <v>0</v>
      </c>
      <c r="BP406">
        <f t="shared" si="421"/>
        <v>0</v>
      </c>
    </row>
    <row r="407" spans="14:68">
      <c r="N407" s="7">
        <v>89</v>
      </c>
      <c r="O407" s="18">
        <f t="shared" si="371"/>
        <v>77624.7116628691</v>
      </c>
      <c r="P407" s="86" t="str">
        <f t="shared" si="372"/>
        <v>163,636363636364</v>
      </c>
      <c r="Q407" s="4" t="str">
        <f t="shared" si="373"/>
        <v>1+2979,58964470633i</v>
      </c>
      <c r="R407" s="4">
        <f t="shared" si="384"/>
        <v>2979.58981251467</v>
      </c>
      <c r="S407" s="4">
        <f t="shared" si="385"/>
        <v>1.57046071012223</v>
      </c>
      <c r="T407" s="4" t="str">
        <f t="shared" si="374"/>
        <v>1+7,64761342141292i</v>
      </c>
      <c r="U407" s="4">
        <f t="shared" si="386"/>
        <v>7.71271619102992</v>
      </c>
      <c r="V407" s="4">
        <f t="shared" si="387"/>
        <v>1.44077427428592</v>
      </c>
      <c r="W407" t="str">
        <f t="shared" si="375"/>
        <v>1-7,31595671691287i</v>
      </c>
      <c r="X407" s="4">
        <f t="shared" si="388"/>
        <v>7.3839842012116</v>
      </c>
      <c r="Y407" s="4">
        <f t="shared" si="389"/>
        <v>-1.43495065297801</v>
      </c>
      <c r="Z407" t="str">
        <f t="shared" si="376"/>
        <v>0,950811462361277+1,51544817707481i</v>
      </c>
      <c r="AA407" s="4">
        <f t="shared" si="390"/>
        <v>1.7890292379827</v>
      </c>
      <c r="AB407" s="4">
        <f t="shared" si="391"/>
        <v>1.01046390306053</v>
      </c>
      <c r="AC407" s="67" t="str">
        <f t="shared" si="392"/>
        <v>-1,47515573088513-0,93824319730071i</v>
      </c>
      <c r="AD407" s="68">
        <f t="shared" si="393"/>
        <v>4.85208020903801</v>
      </c>
      <c r="AE407" s="31">
        <f t="shared" si="394"/>
        <v>-147.542418654382</v>
      </c>
      <c r="AF407" s="32" t="str">
        <f t="shared" si="395"/>
        <v>748,315388573934</v>
      </c>
      <c r="AG407" s="32" t="str">
        <f t="shared" si="377"/>
        <v>1+2427,81378457553i</v>
      </c>
      <c r="AH407" s="32">
        <f t="shared" si="396"/>
        <v>2427.81399052212</v>
      </c>
      <c r="AI407" s="32">
        <f t="shared" si="397"/>
        <v>1.57038443361355</v>
      </c>
      <c r="AJ407" s="32" t="str">
        <f t="shared" si="378"/>
        <v>1+7,64761342141292i</v>
      </c>
      <c r="AK407" s="32">
        <f t="shared" si="398"/>
        <v>7.71271619102992</v>
      </c>
      <c r="AL407" s="32">
        <f t="shared" si="399"/>
        <v>1.44077427428592</v>
      </c>
      <c r="AM407" s="32" t="str">
        <f t="shared" si="379"/>
        <v>1-1,30351445195978i</v>
      </c>
      <c r="AN407" s="32">
        <f t="shared" si="400"/>
        <v>1.64290898301397</v>
      </c>
      <c r="AO407" s="32">
        <f t="shared" si="401"/>
        <v>-0.916404972310378</v>
      </c>
      <c r="AP407" s="30" t="str">
        <f t="shared" si="402"/>
        <v>1,95680861993918-3,380055786743i</v>
      </c>
      <c r="AQ407" s="32">
        <f t="shared" si="403"/>
        <v>11.8338024287219</v>
      </c>
      <c r="AR407" s="31">
        <f t="shared" si="404"/>
        <v>-59.9322523496793</v>
      </c>
      <c r="AS407" t="str">
        <f t="shared" si="380"/>
        <v>-0,0000504684572142411</v>
      </c>
      <c r="AT407" t="str">
        <f t="shared" si="381"/>
        <v>0,109593031619355i</v>
      </c>
      <c r="AU407">
        <f t="shared" si="405"/>
        <v>0.109593031619355</v>
      </c>
      <c r="AV407">
        <f t="shared" si="406"/>
        <v>1.5707963267949</v>
      </c>
      <c r="AW407" t="str">
        <f t="shared" si="382"/>
        <v>1+5,61096220537599i</v>
      </c>
      <c r="AX407">
        <f t="shared" si="407"/>
        <v>5.69937688437585</v>
      </c>
      <c r="AY407">
        <f t="shared" si="408"/>
        <v>1.39442558718181</v>
      </c>
      <c r="AZ407" t="str">
        <f t="shared" si="383"/>
        <v>1+268,251746286805i</v>
      </c>
      <c r="BA407">
        <f t="shared" si="409"/>
        <v>268.253610201094</v>
      </c>
      <c r="BB407">
        <f t="shared" si="410"/>
        <v>1.56706850253424</v>
      </c>
      <c r="BC407" s="30" t="str">
        <f t="shared" si="411"/>
        <v>-0,00372344120964499+0,0213525958046207i</v>
      </c>
      <c r="BD407" s="32">
        <f t="shared" si="412"/>
        <v>-33.2808942616188</v>
      </c>
      <c r="BE407" s="31">
        <f t="shared" si="413"/>
        <v>99.8917104125288</v>
      </c>
      <c r="BF407" s="30" t="str">
        <f t="shared" si="414"/>
        <v>0,0255265833974187-0,0280049106849615i</v>
      </c>
      <c r="BG407" s="68">
        <f t="shared" si="415"/>
        <v>-28.4288140525808</v>
      </c>
      <c r="BH407" s="31">
        <f t="shared" si="416"/>
        <v>-47.6507082418528</v>
      </c>
      <c r="BI407" s="30" t="str">
        <f t="shared" si="369"/>
        <v>0,0648869031565224+0,0543683825358169i</v>
      </c>
      <c r="BJ407" s="68">
        <f t="shared" si="417"/>
        <v>-21.4470918328969</v>
      </c>
      <c r="BK407" s="31">
        <f t="shared" si="370"/>
        <v>39.9594580628495</v>
      </c>
      <c r="BL407" s="32">
        <f t="shared" si="418"/>
        <v>-28.4288140525808</v>
      </c>
      <c r="BM407" s="31">
        <f t="shared" si="419"/>
        <v>-47.6507082418528</v>
      </c>
      <c r="BO407">
        <f t="shared" si="420"/>
        <v>0</v>
      </c>
      <c r="BP407">
        <f t="shared" si="421"/>
        <v>0</v>
      </c>
    </row>
    <row r="408" spans="14:68">
      <c r="N408" s="7">
        <v>90</v>
      </c>
      <c r="O408" s="18">
        <f t="shared" si="371"/>
        <v>79432.8234724282</v>
      </c>
      <c r="P408" s="86" t="str">
        <f t="shared" si="372"/>
        <v>163,636363636364</v>
      </c>
      <c r="Q408" s="4" t="str">
        <f t="shared" si="373"/>
        <v>1+3048,9932033003i</v>
      </c>
      <c r="R408" s="4">
        <f t="shared" si="384"/>
        <v>3048.99336728885</v>
      </c>
      <c r="S408" s="4">
        <f t="shared" si="385"/>
        <v>1.57046834968984</v>
      </c>
      <c r="T408" s="4" t="str">
        <f t="shared" si="374"/>
        <v>1+7,8257492218041i</v>
      </c>
      <c r="U408" s="4">
        <f t="shared" si="386"/>
        <v>7.88938216101663</v>
      </c>
      <c r="V408" s="4">
        <f t="shared" si="387"/>
        <v>1.44370180516998</v>
      </c>
      <c r="W408" t="str">
        <f t="shared" si="375"/>
        <v>1-7,48636724024627i</v>
      </c>
      <c r="X408" s="4">
        <f t="shared" si="388"/>
        <v>7.55286001828662</v>
      </c>
      <c r="Y408" s="4">
        <f t="shared" si="389"/>
        <v>-1.4380062416511</v>
      </c>
      <c r="Z408" t="str">
        <f t="shared" si="376"/>
        <v>0,948493278001617+1,5507474997653i</v>
      </c>
      <c r="AA408" s="4">
        <f t="shared" si="390"/>
        <v>1.8178166316883</v>
      </c>
      <c r="AB408" s="4">
        <f t="shared" si="391"/>
        <v>1.02186471579196</v>
      </c>
      <c r="AC408" s="67" t="str">
        <f t="shared" si="392"/>
        <v>-1,49522939714342-0,926958236797992i</v>
      </c>
      <c r="AD408" s="68">
        <f t="shared" si="393"/>
        <v>4.90655394481114</v>
      </c>
      <c r="AE408" s="31">
        <f t="shared" si="394"/>
        <v>-148.203411992738</v>
      </c>
      <c r="AF408" s="32" t="str">
        <f t="shared" si="395"/>
        <v>748,315388573934</v>
      </c>
      <c r="AG408" s="32" t="str">
        <f t="shared" si="377"/>
        <v>1+2484,36483231876i</v>
      </c>
      <c r="AH408" s="32">
        <f t="shared" si="396"/>
        <v>2484.36503357744</v>
      </c>
      <c r="AI408" s="32">
        <f t="shared" si="397"/>
        <v>1.570393809446</v>
      </c>
      <c r="AJ408" s="32" t="str">
        <f t="shared" si="378"/>
        <v>1+7,8257492218041i</v>
      </c>
      <c r="AK408" s="32">
        <f t="shared" si="398"/>
        <v>7.88938216101663</v>
      </c>
      <c r="AL408" s="32">
        <f t="shared" si="399"/>
        <v>1.44370180516998</v>
      </c>
      <c r="AM408" s="32" t="str">
        <f t="shared" si="379"/>
        <v>1-1,33387720402714i</v>
      </c>
      <c r="AN408" s="32">
        <f t="shared" si="400"/>
        <v>1.66710179515927</v>
      </c>
      <c r="AO408" s="32">
        <f t="shared" si="401"/>
        <v>-0.92749096034879</v>
      </c>
      <c r="AP408" s="30" t="str">
        <f t="shared" si="402"/>
        <v>1,9568029209114-3,44462893590768i</v>
      </c>
      <c r="AQ408" s="32">
        <f t="shared" si="403"/>
        <v>11.9574876218265</v>
      </c>
      <c r="AR408" s="31">
        <f t="shared" si="404"/>
        <v>-60.4002347075905</v>
      </c>
      <c r="AS408" t="str">
        <f t="shared" si="380"/>
        <v>-0,0000504684572142411</v>
      </c>
      <c r="AT408" t="str">
        <f t="shared" si="381"/>
        <v>0,112145781258889i</v>
      </c>
      <c r="AU408">
        <f t="shared" si="405"/>
        <v>0.112145781258889</v>
      </c>
      <c r="AV408">
        <f t="shared" si="406"/>
        <v>1.5707963267949</v>
      </c>
      <c r="AW408" t="str">
        <f t="shared" si="382"/>
        <v>1+5,74165830471343i</v>
      </c>
      <c r="AX408">
        <f t="shared" si="407"/>
        <v>5.82809060397011</v>
      </c>
      <c r="AY408">
        <f t="shared" si="408"/>
        <v>1.39836027313941</v>
      </c>
      <c r="AZ408" t="str">
        <f t="shared" si="383"/>
        <v>1+274,500132142363i</v>
      </c>
      <c r="BA408">
        <f t="shared" si="409"/>
        <v>274.501953629068</v>
      </c>
      <c r="BB408">
        <f t="shared" si="410"/>
        <v>1.5671533574147</v>
      </c>
      <c r="BC408" s="30" t="str">
        <f t="shared" si="411"/>
        <v>-0,00356079248643206+0,0208948792147946i</v>
      </c>
      <c r="BD408" s="32">
        <f t="shared" si="412"/>
        <v>-33.4748753396175</v>
      </c>
      <c r="BE408" s="31">
        <f t="shared" si="413"/>
        <v>99.6711313399704</v>
      </c>
      <c r="BF408" s="30" t="str">
        <f t="shared" si="414"/>
        <v>0,0246928819978936-0,0279419317268953i</v>
      </c>
      <c r="BG408" s="68">
        <f t="shared" si="415"/>
        <v>-28.5683213948064</v>
      </c>
      <c r="BH408" s="31">
        <f t="shared" si="416"/>
        <v>-48.5322806527672</v>
      </c>
      <c r="BI408" s="30" t="str">
        <f t="shared" si="369"/>
        <v>0,0650073364173678+0,0531527695131275i</v>
      </c>
      <c r="BJ408" s="68">
        <f t="shared" si="417"/>
        <v>-21.517387717791</v>
      </c>
      <c r="BK408" s="31">
        <f t="shared" si="370"/>
        <v>39.2708966323799</v>
      </c>
      <c r="BL408" s="32">
        <f t="shared" si="418"/>
        <v>-28.5683213948064</v>
      </c>
      <c r="BM408" s="31">
        <f t="shared" si="419"/>
        <v>-48.5322806527672</v>
      </c>
      <c r="BO408">
        <f t="shared" si="420"/>
        <v>0</v>
      </c>
      <c r="BP408">
        <f t="shared" si="421"/>
        <v>0</v>
      </c>
    </row>
    <row r="409" spans="14:68">
      <c r="N409" s="7">
        <v>91</v>
      </c>
      <c r="O409" s="18">
        <f t="shared" si="371"/>
        <v>81283.05161641</v>
      </c>
      <c r="P409" s="86" t="str">
        <f t="shared" si="372"/>
        <v>163,636363636364</v>
      </c>
      <c r="Q409" s="4" t="str">
        <f t="shared" si="373"/>
        <v>1+3120,01337844884i</v>
      </c>
      <c r="R409" s="4">
        <f t="shared" si="384"/>
        <v>3120.01353870456</v>
      </c>
      <c r="S409" s="4">
        <f t="shared" si="385"/>
        <v>1.5704758153597</v>
      </c>
      <c r="T409" s="4" t="str">
        <f t="shared" si="374"/>
        <v>1+8,00803433801869i</v>
      </c>
      <c r="U409" s="4">
        <f t="shared" si="386"/>
        <v>8.07023010569627</v>
      </c>
      <c r="V409" s="4">
        <f t="shared" si="387"/>
        <v>1.44656481534257</v>
      </c>
      <c r="W409" t="str">
        <f t="shared" si="375"/>
        <v>1-7,66074713458421i</v>
      </c>
      <c r="X409" s="4">
        <f t="shared" si="388"/>
        <v>7.72573923065231</v>
      </c>
      <c r="Y409" s="4">
        <f t="shared" si="389"/>
        <v>-1.44099468877265</v>
      </c>
      <c r="Z409" t="str">
        <f t="shared" si="376"/>
        <v>0,946065840978972+1,58686904930673i</v>
      </c>
      <c r="AA409" s="4">
        <f t="shared" si="390"/>
        <v>1.84748314068489</v>
      </c>
      <c r="AB409" s="4">
        <f t="shared" si="391"/>
        <v>1.03318747800593</v>
      </c>
      <c r="AC409" s="67" t="str">
        <f t="shared" si="392"/>
        <v>-1,51493496291957-0,915318478271301i</v>
      </c>
      <c r="AD409" s="68">
        <f t="shared" si="393"/>
        <v>4.95937641100241</v>
      </c>
      <c r="AE409" s="31">
        <f t="shared" si="394"/>
        <v>-148.859773239172</v>
      </c>
      <c r="AF409" s="32" t="str">
        <f t="shared" si="395"/>
        <v>748,315388573934</v>
      </c>
      <c r="AG409" s="32" t="str">
        <f t="shared" si="377"/>
        <v>1+2542,23312318054i</v>
      </c>
      <c r="AH409" s="32">
        <f t="shared" si="396"/>
        <v>2542.23331985801</v>
      </c>
      <c r="AI409" s="32">
        <f t="shared" si="397"/>
        <v>1.57040297185852</v>
      </c>
      <c r="AJ409" s="32" t="str">
        <f t="shared" si="378"/>
        <v>1+8,00803433801869i</v>
      </c>
      <c r="AK409" s="32">
        <f t="shared" si="398"/>
        <v>8.07023010569627</v>
      </c>
      <c r="AL409" s="32">
        <f t="shared" si="399"/>
        <v>1.44656481534257</v>
      </c>
      <c r="AM409" s="32" t="str">
        <f t="shared" si="379"/>
        <v>1-1,36494719544401i</v>
      </c>
      <c r="AN409" s="32">
        <f t="shared" si="400"/>
        <v>1.69206407867742</v>
      </c>
      <c r="AO409" s="32">
        <f t="shared" si="401"/>
        <v>-0.938505617662208</v>
      </c>
      <c r="AP409" s="30" t="str">
        <f t="shared" si="402"/>
        <v>1,95679747838205-3,51102847272264i</v>
      </c>
      <c r="AQ409" s="32">
        <f t="shared" si="403"/>
        <v>12.0834398690488</v>
      </c>
      <c r="AR409" s="31">
        <f t="shared" si="404"/>
        <v>-60.8678146524073</v>
      </c>
      <c r="AS409" t="str">
        <f t="shared" si="380"/>
        <v>-0,0000504684572142411</v>
      </c>
      <c r="AT409" t="str">
        <f t="shared" si="381"/>
        <v>0,114757992076071i</v>
      </c>
      <c r="AU409">
        <f t="shared" si="405"/>
        <v>0.114757992076071</v>
      </c>
      <c r="AV409">
        <f t="shared" si="406"/>
        <v>1.5707963267949</v>
      </c>
      <c r="AW409" t="str">
        <f t="shared" si="382"/>
        <v>1+5,87539870728384i</v>
      </c>
      <c r="AX409">
        <f t="shared" si="407"/>
        <v>5.95989177498658</v>
      </c>
      <c r="AY409">
        <f t="shared" si="408"/>
        <v>1.40221061269506</v>
      </c>
      <c r="AZ409" t="str">
        <f t="shared" si="383"/>
        <v>1+280,894061601421i</v>
      </c>
      <c r="BA409">
        <f t="shared" si="409"/>
        <v>280.895841626292</v>
      </c>
      <c r="BB409">
        <f t="shared" si="410"/>
        <v>1.56723628081296</v>
      </c>
      <c r="BC409" s="30" t="str">
        <f t="shared" si="411"/>
        <v>-0,00340504226789319+0,0204457625725426i</v>
      </c>
      <c r="BD409" s="32">
        <f t="shared" si="412"/>
        <v>-33.669119509239</v>
      </c>
      <c r="BE409" s="31">
        <f t="shared" si="413"/>
        <v>99.4552742944823</v>
      </c>
      <c r="BF409" s="30" t="str">
        <f t="shared" si="414"/>
        <v>0,0238728018668464-0,0278573024575997i</v>
      </c>
      <c r="BG409" s="68">
        <f t="shared" si="415"/>
        <v>-28.7097430982366</v>
      </c>
      <c r="BH409" s="31">
        <f t="shared" si="416"/>
        <v>-49.40449894469</v>
      </c>
      <c r="BI409" s="30" t="str">
        <f t="shared" si="369"/>
        <v>0,0651226764151263+0,0519634169989465i</v>
      </c>
      <c r="BJ409" s="68">
        <f t="shared" si="417"/>
        <v>-21.5856796401902</v>
      </c>
      <c r="BK409" s="31">
        <f t="shared" si="370"/>
        <v>38.587459642075</v>
      </c>
      <c r="BL409" s="32">
        <f t="shared" si="418"/>
        <v>-28.7097430982366</v>
      </c>
      <c r="BM409" s="31">
        <f t="shared" si="419"/>
        <v>-49.40449894469</v>
      </c>
      <c r="BO409">
        <f t="shared" si="420"/>
        <v>0</v>
      </c>
      <c r="BP409">
        <f t="shared" si="421"/>
        <v>0</v>
      </c>
    </row>
    <row r="410" spans="14:68">
      <c r="N410" s="7">
        <v>92</v>
      </c>
      <c r="O410" s="18">
        <f t="shared" si="371"/>
        <v>83176.3771102672</v>
      </c>
      <c r="P410" s="86" t="str">
        <f t="shared" si="372"/>
        <v>163,636363636364</v>
      </c>
      <c r="Q410" s="4" t="str">
        <f t="shared" si="373"/>
        <v>1+3192,6878259889i</v>
      </c>
      <c r="R410" s="4">
        <f t="shared" si="384"/>
        <v>3192.68798259675</v>
      </c>
      <c r="S410" s="4">
        <f t="shared" si="385"/>
        <v>1.5704831110902</v>
      </c>
      <c r="T410" s="4" t="str">
        <f t="shared" si="374"/>
        <v>1+8,19456542003818i</v>
      </c>
      <c r="U410" s="4">
        <f t="shared" si="386"/>
        <v>8.25535598404366</v>
      </c>
      <c r="V410" s="4">
        <f t="shared" si="387"/>
        <v>1.44936463496862</v>
      </c>
      <c r="W410" t="str">
        <f t="shared" si="375"/>
        <v>1-7,83918885845489i</v>
      </c>
      <c r="X410" s="4">
        <f t="shared" si="388"/>
        <v>7.90271358196179</v>
      </c>
      <c r="Y410" s="4">
        <f t="shared" si="389"/>
        <v>-1.44391736522956</v>
      </c>
      <c r="Z410" t="str">
        <f t="shared" si="376"/>
        <v>0,943524002373964+1,6238319778228i</v>
      </c>
      <c r="AA410" s="4">
        <f t="shared" si="390"/>
        <v>1.87804894378599</v>
      </c>
      <c r="AB410" s="4">
        <f t="shared" si="391"/>
        <v>1.04442884120883</v>
      </c>
      <c r="AC410" s="67" t="str">
        <f t="shared" si="392"/>
        <v>-1,53426144816959-0,90334105345802i</v>
      </c>
      <c r="AD410" s="68">
        <f t="shared" si="393"/>
        <v>5.01056967465694</v>
      </c>
      <c r="AE410" s="31">
        <f t="shared" si="394"/>
        <v>-149.511313099131</v>
      </c>
      <c r="AF410" s="32" t="str">
        <f t="shared" si="395"/>
        <v>748,315388573934</v>
      </c>
      <c r="AG410" s="32" t="str">
        <f t="shared" si="377"/>
        <v>1+2601,44933969466i</v>
      </c>
      <c r="AH410" s="32">
        <f t="shared" si="396"/>
        <v>2601.44953189521</v>
      </c>
      <c r="AI410" s="32">
        <f t="shared" si="397"/>
        <v>1.57041192570913</v>
      </c>
      <c r="AJ410" s="32" t="str">
        <f t="shared" si="378"/>
        <v>1+8,19456542003818i</v>
      </c>
      <c r="AK410" s="32">
        <f t="shared" si="398"/>
        <v>8.25535598404366</v>
      </c>
      <c r="AL410" s="32">
        <f t="shared" si="399"/>
        <v>1.44936463496862</v>
      </c>
      <c r="AM410" s="32" t="str">
        <f t="shared" si="379"/>
        <v>1-1,39674089993113i</v>
      </c>
      <c r="AN410" s="32">
        <f t="shared" si="400"/>
        <v>1.71781405907055</v>
      </c>
      <c r="AO410" s="32">
        <f t="shared" si="401"/>
        <v>-0.949444094090969</v>
      </c>
      <c r="AP410" s="30" t="str">
        <f t="shared" si="402"/>
        <v>1,95679228080679-3,57928960311507i</v>
      </c>
      <c r="AQ410" s="32">
        <f t="shared" si="403"/>
        <v>12.2116245909066</v>
      </c>
      <c r="AR410" s="31">
        <f t="shared" si="404"/>
        <v>-61.3346383559585</v>
      </c>
      <c r="AS410" t="str">
        <f t="shared" si="380"/>
        <v>-0,0000504684572142411</v>
      </c>
      <c r="AT410" t="str">
        <f t="shared" si="381"/>
        <v>0,117431049099654i</v>
      </c>
      <c r="AU410">
        <f t="shared" si="405"/>
        <v>0.117431049099654</v>
      </c>
      <c r="AV410">
        <f t="shared" si="406"/>
        <v>1.5707963267949</v>
      </c>
      <c r="AW410" t="str">
        <f t="shared" si="382"/>
        <v>1+6,01225432401895i</v>
      </c>
      <c r="AX410">
        <f t="shared" si="407"/>
        <v>6.09485045400497</v>
      </c>
      <c r="AY410">
        <f t="shared" si="408"/>
        <v>1.40597819046749</v>
      </c>
      <c r="AZ410" t="str">
        <f t="shared" si="383"/>
        <v>1+287,436924810012i</v>
      </c>
      <c r="BA410">
        <f t="shared" si="409"/>
        <v>287.438664316818</v>
      </c>
      <c r="BB410">
        <f t="shared" si="410"/>
        <v>1.56731731669154</v>
      </c>
      <c r="BC410" s="30" t="str">
        <f t="shared" si="411"/>
        <v>-0,00325591565767011+0,0200051639728327i</v>
      </c>
      <c r="BD410" s="32">
        <f t="shared" si="412"/>
        <v>-33.8636155972077</v>
      </c>
      <c r="BE410" s="31">
        <f t="shared" si="413"/>
        <v>99.2440510029663</v>
      </c>
      <c r="BF410" s="30" t="str">
        <f t="shared" si="414"/>
        <v>0,0230669117698741-0,0277519495676582i</v>
      </c>
      <c r="BG410" s="68">
        <f t="shared" si="415"/>
        <v>-28.8530459225508</v>
      </c>
      <c r="BH410" s="31">
        <f t="shared" si="416"/>
        <v>-50.2672620961648</v>
      </c>
      <c r="BI410" s="30" t="str">
        <f t="shared" si="369"/>
        <v>0,0652331247906854+0,0507998155004313i</v>
      </c>
      <c r="BJ410" s="68">
        <f t="shared" si="417"/>
        <v>-21.6519910063011</v>
      </c>
      <c r="BK410" s="31">
        <f t="shared" si="370"/>
        <v>37.9094126470079</v>
      </c>
      <c r="BL410" s="32">
        <f t="shared" si="418"/>
        <v>-28.8530459225508</v>
      </c>
      <c r="BM410" s="31">
        <f t="shared" si="419"/>
        <v>-50.2672620961648</v>
      </c>
      <c r="BO410">
        <f t="shared" si="420"/>
        <v>0</v>
      </c>
      <c r="BP410">
        <f t="shared" si="421"/>
        <v>0</v>
      </c>
    </row>
    <row r="411" spans="14:68">
      <c r="N411" s="7">
        <v>93</v>
      </c>
      <c r="O411" s="18">
        <f t="shared" si="371"/>
        <v>85113.8038202377</v>
      </c>
      <c r="P411" s="86" t="str">
        <f t="shared" si="372"/>
        <v>163,636363636364</v>
      </c>
      <c r="Q411" s="4" t="str">
        <f t="shared" si="373"/>
        <v>1+3267,05507887452i</v>
      </c>
      <c r="R411" s="4">
        <f t="shared" si="384"/>
        <v>3267.05523191754</v>
      </c>
      <c r="S411" s="4">
        <f t="shared" si="385"/>
        <v>1.57049024074963</v>
      </c>
      <c r="T411" s="4" t="str">
        <f t="shared" si="374"/>
        <v>1+8,38544136911126i</v>
      </c>
      <c r="U411" s="4">
        <f t="shared" si="386"/>
        <v>8.444858018629</v>
      </c>
      <c r="V411" s="4">
        <f t="shared" si="387"/>
        <v>1.45210257287351</v>
      </c>
      <c r="W411" t="str">
        <f t="shared" si="375"/>
        <v>1-8,02178702402225i</v>
      </c>
      <c r="X411" s="4">
        <f t="shared" si="388"/>
        <v>8.08387698191726</v>
      </c>
      <c r="Y411" s="4">
        <f t="shared" si="389"/>
        <v>-1.44677562083249</v>
      </c>
      <c r="Z411" t="str">
        <f t="shared" si="376"/>
        <v>0,940862370606123+1,66165588354747i</v>
      </c>
      <c r="AA411" s="4">
        <f t="shared" si="390"/>
        <v>1.90953457045179</v>
      </c>
      <c r="AB411" s="4">
        <f t="shared" si="391"/>
        <v>1.05558567647267</v>
      </c>
      <c r="AC411" s="67" t="str">
        <f t="shared" si="392"/>
        <v>-1,5531990393255-0,891043331899447i</v>
      </c>
      <c r="AD411" s="68">
        <f t="shared" si="393"/>
        <v>5.06015732502984</v>
      </c>
      <c r="AE411" s="31">
        <f t="shared" si="394"/>
        <v>-150.157854868165</v>
      </c>
      <c r="AF411" s="32" t="str">
        <f t="shared" si="395"/>
        <v>748,315388573934</v>
      </c>
      <c r="AG411" s="32" t="str">
        <f t="shared" si="377"/>
        <v>1+2662,04487908294i</v>
      </c>
      <c r="AH411" s="32">
        <f t="shared" si="396"/>
        <v>2662.04506690847</v>
      </c>
      <c r="AI411" s="32">
        <f t="shared" si="397"/>
        <v>1.57042067574528</v>
      </c>
      <c r="AJ411" s="32" t="str">
        <f t="shared" si="378"/>
        <v>1+8,38544136911126i</v>
      </c>
      <c r="AK411" s="32">
        <f t="shared" si="398"/>
        <v>8.444858018629</v>
      </c>
      <c r="AL411" s="32">
        <f t="shared" si="399"/>
        <v>1.45210257287351</v>
      </c>
      <c r="AM411" s="32" t="str">
        <f t="shared" si="379"/>
        <v>1-1,42927517493144i</v>
      </c>
      <c r="AN411" s="32">
        <f t="shared" si="400"/>
        <v>1.74437023755718</v>
      </c>
      <c r="AO411" s="32">
        <f t="shared" si="401"/>
        <v>-0.960301719277274</v>
      </c>
      <c r="AP411" s="30" t="str">
        <f t="shared" si="402"/>
        <v>1,95678731716089-3,64944852005267i</v>
      </c>
      <c r="AQ411" s="32">
        <f t="shared" si="403"/>
        <v>12.3420058624988</v>
      </c>
      <c r="AR411" s="31">
        <f t="shared" si="404"/>
        <v>-61.8003635082916</v>
      </c>
      <c r="AS411" t="str">
        <f t="shared" si="380"/>
        <v>-0,0000504684572142411</v>
      </c>
      <c r="AT411" t="str">
        <f t="shared" si="381"/>
        <v>0,120166369619853i</v>
      </c>
      <c r="AU411">
        <f t="shared" si="405"/>
        <v>0.120166369619853</v>
      </c>
      <c r="AV411">
        <f t="shared" si="406"/>
        <v>1.5707963267949</v>
      </c>
      <c r="AW411" t="str">
        <f t="shared" si="382"/>
        <v>1+6,15229771757826i</v>
      </c>
      <c r="AX411">
        <f t="shared" si="407"/>
        <v>6.23303836068082</v>
      </c>
      <c r="AY411">
        <f t="shared" si="408"/>
        <v>1.40966457602555</v>
      </c>
      <c r="AZ411" t="str">
        <f t="shared" si="383"/>
        <v>1+294,132190880815i</v>
      </c>
      <c r="BA411">
        <f t="shared" si="409"/>
        <v>294.133890791844</v>
      </c>
      <c r="BB411">
        <f t="shared" si="410"/>
        <v>1.56739650801246</v>
      </c>
      <c r="BC411" s="30" t="str">
        <f t="shared" si="411"/>
        <v>-0,00311314719152293+0,0195729965603679i</v>
      </c>
      <c r="BD411" s="32">
        <f t="shared" si="412"/>
        <v>-34.0583528767453</v>
      </c>
      <c r="BE411" s="31">
        <f t="shared" si="413"/>
        <v>99.0373739972947</v>
      </c>
      <c r="BF411" s="30" t="str">
        <f t="shared" si="414"/>
        <v>0,0222757252975589-0,0276268104080567i</v>
      </c>
      <c r="BG411" s="68">
        <f t="shared" si="415"/>
        <v>-28.9981955517155</v>
      </c>
      <c r="BH411" s="31">
        <f t="shared" si="416"/>
        <v>-51.1204808708706</v>
      </c>
      <c r="BI411" s="30" t="str">
        <f t="shared" si="369"/>
        <v>0,0653388763894035+0,0496614618389711i</v>
      </c>
      <c r="BJ411" s="68">
        <f t="shared" si="417"/>
        <v>-21.7163470142465</v>
      </c>
      <c r="BK411" s="31">
        <f t="shared" si="370"/>
        <v>37.2370104890031</v>
      </c>
      <c r="BL411" s="32">
        <f t="shared" si="418"/>
        <v>-28.9981955517155</v>
      </c>
      <c r="BM411" s="31">
        <f t="shared" si="419"/>
        <v>-51.1204808708706</v>
      </c>
      <c r="BO411">
        <f t="shared" si="420"/>
        <v>0</v>
      </c>
      <c r="BP411">
        <f t="shared" si="421"/>
        <v>0</v>
      </c>
    </row>
    <row r="412" spans="14:68">
      <c r="N412" s="7">
        <v>94</v>
      </c>
      <c r="O412" s="18">
        <f t="shared" si="371"/>
        <v>87096.3589956081</v>
      </c>
      <c r="P412" s="86" t="str">
        <f t="shared" si="372"/>
        <v>163,636363636364</v>
      </c>
      <c r="Q412" s="4" t="str">
        <f t="shared" si="373"/>
        <v>1+3343,15456760754i</v>
      </c>
      <c r="R412" s="4">
        <f t="shared" si="384"/>
        <v>3343.15471716688</v>
      </c>
      <c r="S412" s="4">
        <f t="shared" si="385"/>
        <v>1.57049720811822</v>
      </c>
      <c r="T412" s="4" t="str">
        <f t="shared" si="374"/>
        <v>1+8,58076339019268i</v>
      </c>
      <c r="U412" s="4">
        <f t="shared" si="386"/>
        <v>8.63883674799281</v>
      </c>
      <c r="V412" s="4">
        <f t="shared" si="387"/>
        <v>1.45477991646466</v>
      </c>
      <c r="W412" t="str">
        <f t="shared" si="375"/>
        <v>1-8,20863844725065i</v>
      </c>
      <c r="X412" s="4">
        <f t="shared" si="388"/>
        <v>8.26932555639706</v>
      </c>
      <c r="Y412" s="4">
        <f t="shared" si="389"/>
        <v>-1.4495707841597</v>
      </c>
      <c r="Z412" t="str">
        <f t="shared" si="376"/>
        <v>0,938075299997617+1,70036082121621i</v>
      </c>
      <c r="AA412" s="4">
        <f t="shared" si="390"/>
        <v>1.94196091381693</v>
      </c>
      <c r="AB412" s="4">
        <f t="shared" si="391"/>
        <v>1.06665507687851</v>
      </c>
      <c r="AC412" s="67" t="str">
        <f t="shared" si="392"/>
        <v>-1,57173908001862-0,878442837091417i</v>
      </c>
      <c r="AD412" s="68">
        <f t="shared" si="393"/>
        <v>5.10816433641735</v>
      </c>
      <c r="AE412" s="31">
        <f t="shared" si="394"/>
        <v>-150.799234567594</v>
      </c>
      <c r="AF412" s="32" t="str">
        <f t="shared" si="395"/>
        <v>748,315388573934</v>
      </c>
      <c r="AG412" s="32" t="str">
        <f t="shared" si="377"/>
        <v>1+2724,05186990244i</v>
      </c>
      <c r="AH412" s="32">
        <f t="shared" si="396"/>
        <v>2724.05205345254</v>
      </c>
      <c r="AI412" s="32">
        <f t="shared" si="397"/>
        <v>1.57042922660634</v>
      </c>
      <c r="AJ412" s="32" t="str">
        <f t="shared" si="378"/>
        <v>1+8,58076339019268i</v>
      </c>
      <c r="AK412" s="32">
        <f t="shared" si="398"/>
        <v>8.63883674799281</v>
      </c>
      <c r="AL412" s="32">
        <f t="shared" si="399"/>
        <v>1.45477991646466</v>
      </c>
      <c r="AM412" s="32" t="str">
        <f t="shared" si="379"/>
        <v>1-1,46256727054819i</v>
      </c>
      <c r="AN412" s="32">
        <f t="shared" si="400"/>
        <v>1.77175139928794</v>
      </c>
      <c r="AO412" s="32">
        <f t="shared" si="401"/>
        <v>-0.971074010360321</v>
      </c>
      <c r="AP412" s="30" t="str">
        <f t="shared" si="402"/>
        <v>1,95678257691579-3,72154242273388i</v>
      </c>
      <c r="AQ412" s="32">
        <f t="shared" si="403"/>
        <v>12.4745465108831</v>
      </c>
      <c r="AR412" s="31">
        <f t="shared" si="404"/>
        <v>-62.2646597632074</v>
      </c>
      <c r="AS412" t="str">
        <f t="shared" si="380"/>
        <v>-0,0000504684572142411</v>
      </c>
      <c r="AT412" t="str">
        <f t="shared" si="381"/>
        <v>0,122965403939815i</v>
      </c>
      <c r="AU412">
        <f t="shared" si="405"/>
        <v>0.122965403939815</v>
      </c>
      <c r="AV412">
        <f t="shared" si="406"/>
        <v>1.5707963267949</v>
      </c>
      <c r="AW412" t="str">
        <f t="shared" si="382"/>
        <v>1+6,2956031408227i</v>
      </c>
      <c r="AX412">
        <f t="shared" si="407"/>
        <v>6.37452891645623</v>
      </c>
      <c r="AY412">
        <f t="shared" si="408"/>
        <v>1.4132713229694</v>
      </c>
      <c r="AZ412" t="str">
        <f t="shared" si="383"/>
        <v>1+300,983409732523i</v>
      </c>
      <c r="BA412">
        <f t="shared" si="409"/>
        <v>300.985070949069</v>
      </c>
      <c r="BB412">
        <f t="shared" si="410"/>
        <v>1.56747389676006</v>
      </c>
      <c r="BC412" s="30" t="str">
        <f t="shared" si="411"/>
        <v>-0,00297648064800584+0,0191491690170739i</v>
      </c>
      <c r="BD412" s="32">
        <f t="shared" si="412"/>
        <v>-34.2533210521402</v>
      </c>
      <c r="BE412" s="31">
        <f t="shared" si="413"/>
        <v>98.8351566682596</v>
      </c>
      <c r="BF412" s="30" t="str">
        <f t="shared" si="414"/>
        <v>0,0214997013146914-0,0274828291890348i</v>
      </c>
      <c r="BG412" s="68">
        <f t="shared" si="415"/>
        <v>-29.1451567157228</v>
      </c>
      <c r="BH412" s="31">
        <f t="shared" si="416"/>
        <v>-51.9640778993348</v>
      </c>
      <c r="BI412" s="30" t="str">
        <f t="shared" si="369"/>
        <v>0,0654401193845969+0,048547859297026i</v>
      </c>
      <c r="BJ412" s="68">
        <f t="shared" si="417"/>
        <v>-21.7787745412571</v>
      </c>
      <c r="BK412" s="31">
        <f t="shared" si="370"/>
        <v>36.5704969050522</v>
      </c>
      <c r="BL412" s="32">
        <f t="shared" si="418"/>
        <v>-29.1451567157228</v>
      </c>
      <c r="BM412" s="31">
        <f t="shared" si="419"/>
        <v>-51.9640778993348</v>
      </c>
      <c r="BO412">
        <f t="shared" si="420"/>
        <v>0</v>
      </c>
      <c r="BP412">
        <f t="shared" si="421"/>
        <v>0</v>
      </c>
    </row>
    <row r="413" spans="14:68">
      <c r="N413" s="7">
        <v>95</v>
      </c>
      <c r="O413" s="18">
        <f t="shared" si="371"/>
        <v>89125.0938133746</v>
      </c>
      <c r="P413" s="86" t="str">
        <f t="shared" si="372"/>
        <v>163,636363636364</v>
      </c>
      <c r="Q413" s="4" t="str">
        <f t="shared" si="373"/>
        <v>1+3421,02664114419i</v>
      </c>
      <c r="R413" s="4">
        <f t="shared" si="384"/>
        <v>3421.02678729914</v>
      </c>
      <c r="S413" s="4">
        <f t="shared" si="385"/>
        <v>1.57050401689018</v>
      </c>
      <c r="T413" s="4" t="str">
        <f t="shared" si="374"/>
        <v>1+8,78063504560341i</v>
      </c>
      <c r="U413" s="4">
        <f t="shared" si="386"/>
        <v>8.8373950802303</v>
      </c>
      <c r="V413" s="4">
        <f t="shared" si="387"/>
        <v>1.45739793168919</v>
      </c>
      <c r="W413" t="str">
        <f t="shared" si="375"/>
        <v>1-8,39984219923796i</v>
      </c>
      <c r="X413" s="4">
        <f t="shared" si="388"/>
        <v>8.45915769873684</v>
      </c>
      <c r="Y413" s="4">
        <f t="shared" si="389"/>
        <v>-1.45230416244272</v>
      </c>
      <c r="Z413" t="str">
        <f t="shared" si="376"/>
        <v>0,935156878798018+1,73996731269929i</v>
      </c>
      <c r="AA413" s="4">
        <f t="shared" si="390"/>
        <v>1.975349244368</v>
      </c>
      <c r="AB413" s="4">
        <f t="shared" si="391"/>
        <v>1.07763435904837</v>
      </c>
      <c r="AC413" s="67" t="str">
        <f t="shared" si="392"/>
        <v>-1,58987405544499-0,865557165569501i</v>
      </c>
      <c r="AD413" s="68">
        <f t="shared" si="393"/>
        <v>5.15461693281997</v>
      </c>
      <c r="AE413" s="31">
        <f t="shared" si="394"/>
        <v>-151.435301028271</v>
      </c>
      <c r="AF413" s="32" t="str">
        <f t="shared" si="395"/>
        <v>748,315388573934</v>
      </c>
      <c r="AG413" s="32" t="str">
        <f t="shared" si="377"/>
        <v>1+2787,50318908045i</v>
      </c>
      <c r="AH413" s="32">
        <f t="shared" si="396"/>
        <v>2787.50336845244</v>
      </c>
      <c r="AI413" s="32">
        <f t="shared" si="397"/>
        <v>1.57043758282609</v>
      </c>
      <c r="AJ413" s="32" t="str">
        <f t="shared" si="378"/>
        <v>1+8,78063504560341i</v>
      </c>
      <c r="AK413" s="32">
        <f t="shared" si="398"/>
        <v>8.8373950802303</v>
      </c>
      <c r="AL413" s="32">
        <f t="shared" si="399"/>
        <v>1.45739793168919</v>
      </c>
      <c r="AM413" s="32" t="str">
        <f t="shared" si="379"/>
        <v>1-1,49663483869115i</v>
      </c>
      <c r="AN413" s="32">
        <f t="shared" si="400"/>
        <v>1.7999766221771</v>
      </c>
      <c r="AO413" s="32">
        <f t="shared" si="401"/>
        <v>-0.981756678682452</v>
      </c>
      <c r="AP413" s="30" t="str">
        <f t="shared" si="402"/>
        <v>1,95677805001681-3,79560953631136i</v>
      </c>
      <c r="AQ413" s="32">
        <f t="shared" si="403"/>
        <v>12.6092082156145</v>
      </c>
      <c r="AR413" s="31">
        <f t="shared" si="404"/>
        <v>-62.7272091250616</v>
      </c>
      <c r="AS413" t="str">
        <f t="shared" si="380"/>
        <v>-0,0000504684572142411</v>
      </c>
      <c r="AT413" t="str">
        <f t="shared" si="381"/>
        <v>0,125829636144585i</v>
      </c>
      <c r="AU413">
        <f t="shared" si="405"/>
        <v>0.125829636144585</v>
      </c>
      <c r="AV413">
        <f t="shared" si="406"/>
        <v>1.5707963267949</v>
      </c>
      <c r="AW413" t="str">
        <f t="shared" si="382"/>
        <v>1+6,44224657618458i</v>
      </c>
      <c r="AX413">
        <f t="shared" si="407"/>
        <v>6.51939728413309</v>
      </c>
      <c r="AY413">
        <f t="shared" si="408"/>
        <v>1.41679996810229</v>
      </c>
      <c r="AZ413" t="str">
        <f t="shared" si="383"/>
        <v>1+307,994213972058i</v>
      </c>
      <c r="BA413">
        <f t="shared" si="409"/>
        <v>307.9958373749</v>
      </c>
      <c r="BB413">
        <f t="shared" si="410"/>
        <v>1.56754952396314</v>
      </c>
      <c r="BC413" s="30" t="str">
        <f t="shared" si="411"/>
        <v>-0,00284566884982097+0,0187335860214306i</v>
      </c>
      <c r="BD413" s="32">
        <f t="shared" si="412"/>
        <v>-34.4485102436373</v>
      </c>
      <c r="BE413" s="31">
        <f t="shared" si="413"/>
        <v>98.6373133142987</v>
      </c>
      <c r="BF413" s="30" t="str">
        <f t="shared" si="414"/>
        <v>0,0207392446923802-0,027320953317119i</v>
      </c>
      <c r="BG413" s="68">
        <f t="shared" si="415"/>
        <v>-29.2938933108174</v>
      </c>
      <c r="BH413" s="31">
        <f t="shared" si="416"/>
        <v>-52.7979877139721</v>
      </c>
      <c r="BI413" s="30" t="str">
        <f t="shared" si="369"/>
        <v>0,0655370354093049+0,0474585177484018i</v>
      </c>
      <c r="BJ413" s="68">
        <f t="shared" si="417"/>
        <v>-21.8393020280228</v>
      </c>
      <c r="BK413" s="31">
        <f t="shared" si="370"/>
        <v>35.9101041892371</v>
      </c>
      <c r="BL413" s="32">
        <f t="shared" si="418"/>
        <v>-29.2938933108174</v>
      </c>
      <c r="BM413" s="31">
        <f t="shared" si="419"/>
        <v>-52.7979877139721</v>
      </c>
      <c r="BO413">
        <f t="shared" si="420"/>
        <v>0</v>
      </c>
      <c r="BP413">
        <f t="shared" si="421"/>
        <v>0</v>
      </c>
    </row>
    <row r="414" spans="14:68">
      <c r="N414" s="7">
        <v>96</v>
      </c>
      <c r="O414" s="18">
        <f t="shared" si="371"/>
        <v>91201.083935591</v>
      </c>
      <c r="P414" s="86" t="str">
        <f t="shared" si="372"/>
        <v>163,636363636364</v>
      </c>
      <c r="Q414" s="4" t="str">
        <f t="shared" si="373"/>
        <v>1+3500,71258828862i</v>
      </c>
      <c r="R414" s="4">
        <f t="shared" si="384"/>
        <v>3500.71273111668</v>
      </c>
      <c r="S414" s="4">
        <f t="shared" si="385"/>
        <v>1.57051067067558</v>
      </c>
      <c r="T414" s="4" t="str">
        <f t="shared" si="374"/>
        <v>1+8,98516230994079i</v>
      </c>
      <c r="U414" s="4">
        <f t="shared" si="386"/>
        <v>9.04063834781486</v>
      </c>
      <c r="V414" s="4">
        <f t="shared" si="387"/>
        <v>1.45995786302478</v>
      </c>
      <c r="W414" t="str">
        <f t="shared" si="375"/>
        <v>1-8,59549965874438i</v>
      </c>
      <c r="X414" s="4">
        <f t="shared" si="388"/>
        <v>8.65347412219363</v>
      </c>
      <c r="Y414" s="4">
        <f t="shared" si="389"/>
        <v>-1.45497704149082</v>
      </c>
      <c r="Z414" t="str">
        <f t="shared" si="376"/>
        <v>0,932100916644679+1,78049635788276i</v>
      </c>
      <c r="AA414" s="4">
        <f t="shared" si="390"/>
        <v>2.00972122426062</v>
      </c>
      <c r="AB414" s="4">
        <f t="shared" si="391"/>
        <v>1.08852106380114</v>
      </c>
      <c r="AC414" s="67" t="str">
        <f t="shared" si="392"/>
        <v>-1,60759757084202-0,852403909412072i</v>
      </c>
      <c r="AD414" s="68">
        <f t="shared" si="393"/>
        <v>5.19954245501503</v>
      </c>
      <c r="AE414" s="31">
        <f t="shared" si="394"/>
        <v>-152.065915924463</v>
      </c>
      <c r="AF414" s="32" t="str">
        <f t="shared" si="395"/>
        <v>748,315388573934</v>
      </c>
      <c r="AG414" s="32" t="str">
        <f t="shared" si="377"/>
        <v>1+2852,43247934628i</v>
      </c>
      <c r="AH414" s="32">
        <f t="shared" si="396"/>
        <v>2852.43265463526</v>
      </c>
      <c r="AI414" s="32">
        <f t="shared" si="397"/>
        <v>1.57044574883511</v>
      </c>
      <c r="AJ414" s="32" t="str">
        <f t="shared" si="378"/>
        <v>1+8,98516230994079i</v>
      </c>
      <c r="AK414" s="32">
        <f t="shared" si="398"/>
        <v>9.04063834781486</v>
      </c>
      <c r="AL414" s="32">
        <f t="shared" si="399"/>
        <v>1.45995786302478</v>
      </c>
      <c r="AM414" s="32" t="str">
        <f t="shared" si="379"/>
        <v>1-1,53149594243589i</v>
      </c>
      <c r="AN414" s="32">
        <f t="shared" si="400"/>
        <v>1.82906528634098</v>
      </c>
      <c r="AO414" s="32">
        <f t="shared" si="401"/>
        <v>-0.992345635501456</v>
      </c>
      <c r="AP414" s="30" t="str">
        <f t="shared" si="402"/>
        <v>1,95677372686179-3,87168913215963i</v>
      </c>
      <c r="AQ414" s="32">
        <f t="shared" si="403"/>
        <v>12.7459516116695</v>
      </c>
      <c r="AR414" s="31">
        <f t="shared" si="404"/>
        <v>-63.1877062767165</v>
      </c>
      <c r="AS414" t="str">
        <f t="shared" si="380"/>
        <v>-0,0000504684572142411</v>
      </c>
      <c r="AT414" t="str">
        <f t="shared" si="381"/>
        <v>0,128760584887991i</v>
      </c>
      <c r="AU414">
        <f t="shared" si="405"/>
        <v>0.128760584887991</v>
      </c>
      <c r="AV414">
        <f t="shared" si="406"/>
        <v>1.5707963267949</v>
      </c>
      <c r="AW414" t="str">
        <f t="shared" si="382"/>
        <v>1+6,59230577595437i</v>
      </c>
      <c r="AX414">
        <f t="shared" si="407"/>
        <v>6.66772040833157</v>
      </c>
      <c r="AY414">
        <f t="shared" si="408"/>
        <v>1.42025203068776</v>
      </c>
      <c r="AZ414" t="str">
        <f t="shared" si="383"/>
        <v>1+315,168320820627i</v>
      </c>
      <c r="BA414">
        <f t="shared" si="409"/>
        <v>315.169907270497</v>
      </c>
      <c r="BB414">
        <f t="shared" si="410"/>
        <v>1.5676234297168</v>
      </c>
      <c r="BC414" s="30" t="str">
        <f t="shared" si="411"/>
        <v>-0,00272047345750167+0,018326148680664i</v>
      </c>
      <c r="BD414" s="32">
        <f t="shared" si="412"/>
        <v>-34.6439109726628</v>
      </c>
      <c r="BE414" s="31">
        <f t="shared" si="413"/>
        <v>98.4437591853023</v>
      </c>
      <c r="BF414" s="30" t="str">
        <f t="shared" si="414"/>
        <v>0,0199947073016848-0,0271421298912989i</v>
      </c>
      <c r="BG414" s="68">
        <f t="shared" si="415"/>
        <v>-29.4443685176478</v>
      </c>
      <c r="BH414" s="31">
        <f t="shared" si="416"/>
        <v>-53.6221567391607</v>
      </c>
      <c r="BI414" s="30" t="str">
        <f t="shared" si="369"/>
        <v>0,0656297996950042+0,0463929537726241i</v>
      </c>
      <c r="BJ414" s="68">
        <f t="shared" si="417"/>
        <v>-21.8979593609933</v>
      </c>
      <c r="BK414" s="31">
        <f t="shared" si="370"/>
        <v>35.2560529085859</v>
      </c>
      <c r="BL414" s="32">
        <f t="shared" si="418"/>
        <v>-29.4443685176478</v>
      </c>
      <c r="BM414" s="31">
        <f t="shared" si="419"/>
        <v>-53.6221567391607</v>
      </c>
      <c r="BO414">
        <f t="shared" si="420"/>
        <v>0</v>
      </c>
      <c r="BP414">
        <f t="shared" si="421"/>
        <v>0</v>
      </c>
    </row>
    <row r="415" spans="14:68">
      <c r="N415" s="7">
        <v>97</v>
      </c>
      <c r="O415" s="18">
        <f t="shared" si="371"/>
        <v>93325.4300796991</v>
      </c>
      <c r="P415" s="86" t="str">
        <f t="shared" si="372"/>
        <v>163,636363636364</v>
      </c>
      <c r="Q415" s="4" t="str">
        <f t="shared" si="373"/>
        <v>1+3582,25465958476i</v>
      </c>
      <c r="R415" s="4">
        <f t="shared" si="384"/>
        <v>3582.25479916166</v>
      </c>
      <c r="S415" s="4">
        <f t="shared" si="385"/>
        <v>1.57051717300237</v>
      </c>
      <c r="T415" s="4" t="str">
        <f t="shared" si="374"/>
        <v>1+9,19445362626755i</v>
      </c>
      <c r="U415" s="4">
        <f t="shared" si="386"/>
        <v>9.24867436369043</v>
      </c>
      <c r="V415" s="4">
        <f t="shared" si="387"/>
        <v>1.46246093350129</v>
      </c>
      <c r="W415" t="str">
        <f t="shared" si="375"/>
        <v>1-8,79571456594472i</v>
      </c>
      <c r="X415" s="4">
        <f t="shared" si="388"/>
        <v>8.85237791362141</v>
      </c>
      <c r="Y415" s="4">
        <f t="shared" si="389"/>
        <v>-1.45759068565109</v>
      </c>
      <c r="Z415" t="str">
        <f t="shared" si="376"/>
        <v>0,928900931432156+1,82196944580283i</v>
      </c>
      <c r="AA415" s="4">
        <f t="shared" si="390"/>
        <v>2.04509892226626</v>
      </c>
      <c r="AB415" s="4">
        <f t="shared" si="391"/>
        <v>1.09931295597322</v>
      </c>
      <c r="AC415" s="67" t="str">
        <f t="shared" si="392"/>
        <v>-1,6249043245787-0,839000582578178i</v>
      </c>
      <c r="AD415" s="68">
        <f t="shared" si="393"/>
        <v>5.24296923057364</v>
      </c>
      <c r="AE415" s="31">
        <f t="shared" si="394"/>
        <v>-152.69095376017</v>
      </c>
      <c r="AF415" s="32" t="str">
        <f t="shared" si="395"/>
        <v>748,315388573934</v>
      </c>
      <c r="AG415" s="32" t="str">
        <f t="shared" si="377"/>
        <v>1+2918,87416706906i</v>
      </c>
      <c r="AH415" s="32">
        <f t="shared" si="396"/>
        <v>2918.87433836798</v>
      </c>
      <c r="AI415" s="32">
        <f t="shared" si="397"/>
        <v>1.57045372896312</v>
      </c>
      <c r="AJ415" s="32" t="str">
        <f t="shared" si="378"/>
        <v>1+9,19445362626755i</v>
      </c>
      <c r="AK415" s="32">
        <f t="shared" si="398"/>
        <v>9.24867436369043</v>
      </c>
      <c r="AL415" s="32">
        <f t="shared" si="399"/>
        <v>1.46246093350129</v>
      </c>
      <c r="AM415" s="32" t="str">
        <f t="shared" si="379"/>
        <v>1-1,56716906560106i</v>
      </c>
      <c r="AN415" s="32">
        <f t="shared" si="400"/>
        <v>1.8590370841317</v>
      </c>
      <c r="AO415" s="32">
        <f t="shared" si="401"/>
        <v>-1.00283699671264</v>
      </c>
      <c r="AP415" s="30" t="str">
        <f t="shared" si="402"/>
        <v>1,95676959828076-3,94982154869715i</v>
      </c>
      <c r="AQ415" s="32">
        <f t="shared" si="403"/>
        <v>12.8847363939994</v>
      </c>
      <c r="AR415" s="31">
        <f t="shared" si="404"/>
        <v>-63.6458588489913</v>
      </c>
      <c r="AS415" t="str">
        <f t="shared" si="380"/>
        <v>-0,0000504684572142411</v>
      </c>
      <c r="AT415" t="str">
        <f t="shared" si="381"/>
        <v>0,131759804197852i</v>
      </c>
      <c r="AU415">
        <f t="shared" si="405"/>
        <v>0.131759804197852</v>
      </c>
      <c r="AV415">
        <f t="shared" si="406"/>
        <v>1.5707963267949</v>
      </c>
      <c r="AW415" t="str">
        <f t="shared" si="382"/>
        <v>1+6,74586030350604i</v>
      </c>
      <c r="AX415">
        <f t="shared" si="407"/>
        <v>6.8195770568576</v>
      </c>
      <c r="AY415">
        <f t="shared" si="408"/>
        <v>1.42362901178711</v>
      </c>
      <c r="AZ415" t="str">
        <f t="shared" si="383"/>
        <v>1+322,509534084639i</v>
      </c>
      <c r="BA415">
        <f t="shared" si="409"/>
        <v>322.511084422677</v>
      </c>
      <c r="BB415">
        <f t="shared" si="410"/>
        <v>1.56769565320362</v>
      </c>
      <c r="BC415" s="30" t="str">
        <f t="shared" si="411"/>
        <v>-0,00260066475693218+0,0179267549368399i</v>
      </c>
      <c r="BD415" s="32">
        <f t="shared" si="412"/>
        <v>-34.8395141473938</v>
      </c>
      <c r="BE415" s="31">
        <f t="shared" si="413"/>
        <v>98.2544105217902</v>
      </c>
      <c r="BF415" s="30" t="str">
        <f t="shared" si="414"/>
        <v>0,0192663892460634-0,0269473023763771i</v>
      </c>
      <c r="BG415" s="68">
        <f t="shared" si="415"/>
        <v>-29.5965449168202</v>
      </c>
      <c r="BH415" s="31">
        <f t="shared" si="416"/>
        <v>-54.4365432383802</v>
      </c>
      <c r="BI415" s="30" t="str">
        <f t="shared" si="369"/>
        <v>0,0657185812160581+0,0453506907541058i</v>
      </c>
      <c r="BJ415" s="68">
        <f t="shared" si="417"/>
        <v>-21.9547777533944</v>
      </c>
      <c r="BK415" s="31">
        <f t="shared" si="370"/>
        <v>34.6085516727989</v>
      </c>
      <c r="BL415" s="32">
        <f t="shared" si="418"/>
        <v>-29.5965449168202</v>
      </c>
      <c r="BM415" s="31">
        <f t="shared" si="419"/>
        <v>-54.4365432383802</v>
      </c>
      <c r="BO415">
        <f t="shared" si="420"/>
        <v>0</v>
      </c>
      <c r="BP415">
        <f t="shared" si="421"/>
        <v>0</v>
      </c>
    </row>
    <row r="416" spans="14:68">
      <c r="N416" s="7">
        <v>98</v>
      </c>
      <c r="O416" s="18">
        <f t="shared" si="371"/>
        <v>95499.2586021438</v>
      </c>
      <c r="P416" s="86" t="str">
        <f t="shared" si="372"/>
        <v>163,636363636364</v>
      </c>
      <c r="Q416" s="4" t="str">
        <f t="shared" si="373"/>
        <v>1+3665,69608971818i</v>
      </c>
      <c r="R416" s="4">
        <f t="shared" si="384"/>
        <v>3665.69622611792</v>
      </c>
      <c r="S416" s="4">
        <f t="shared" si="385"/>
        <v>1.57052352731815</v>
      </c>
      <c r="T416" s="4" t="str">
        <f t="shared" si="374"/>
        <v>1+9,40861996360998i</v>
      </c>
      <c r="U416" s="4">
        <f t="shared" si="386"/>
        <v>9.46161347866421</v>
      </c>
      <c r="V416" s="4">
        <f t="shared" si="387"/>
        <v>1.46490834475053</v>
      </c>
      <c r="W416" t="str">
        <f t="shared" si="375"/>
        <v>1-9,00059307743302i</v>
      </c>
      <c r="X416" s="4">
        <f t="shared" si="388"/>
        <v>9.05597458838833</v>
      </c>
      <c r="Y416" s="4">
        <f t="shared" si="389"/>
        <v>-1.46014633780185</v>
      </c>
      <c r="Z416" t="str">
        <f t="shared" si="376"/>
        <v>0,925550135562782+1,8644085660397i</v>
      </c>
      <c r="AA416" s="4">
        <f t="shared" si="390"/>
        <v>2.08150482933922</v>
      </c>
      <c r="AB416" s="4">
        <f t="shared" si="391"/>
        <v>1.11000802344853</v>
      </c>
      <c r="AC416" s="67" t="str">
        <f t="shared" si="392"/>
        <v>-1,64179007638364-0,825364551428885i</v>
      </c>
      <c r="AD416" s="68">
        <f t="shared" si="393"/>
        <v>5.28492644730049</v>
      </c>
      <c r="AE416" s="31">
        <f t="shared" si="394"/>
        <v>-153.310301810417</v>
      </c>
      <c r="AF416" s="32" t="str">
        <f t="shared" si="395"/>
        <v>748,315388573934</v>
      </c>
      <c r="AG416" s="32" t="str">
        <f t="shared" si="377"/>
        <v>1+2986,8634805111i</v>
      </c>
      <c r="AH416" s="32">
        <f t="shared" si="396"/>
        <v>2986.86364791078</v>
      </c>
      <c r="AI416" s="32">
        <f t="shared" si="397"/>
        <v>1.57046152744127</v>
      </c>
      <c r="AJ416" s="32" t="str">
        <f t="shared" si="378"/>
        <v>1+9,40861996360998i</v>
      </c>
      <c r="AK416" s="32">
        <f t="shared" si="398"/>
        <v>9.46161347866421</v>
      </c>
      <c r="AL416" s="32">
        <f t="shared" si="399"/>
        <v>1.46490834475053</v>
      </c>
      <c r="AM416" s="32" t="str">
        <f t="shared" si="379"/>
        <v>1-1,60367312254874i</v>
      </c>
      <c r="AN416" s="32">
        <f t="shared" si="400"/>
        <v>1.88991203075308</v>
      </c>
      <c r="AO416" s="32">
        <f t="shared" si="401"/>
        <v>-1.01322708659236</v>
      </c>
      <c r="AP416" s="30" t="str">
        <f t="shared" si="402"/>
        <v>1,95676565551644-4,0300482127745i</v>
      </c>
      <c r="AQ416" s="32">
        <f t="shared" si="403"/>
        <v>13.025521422978</v>
      </c>
      <c r="AR416" s="31">
        <f t="shared" si="404"/>
        <v>-64.1013876324314</v>
      </c>
      <c r="AS416" t="str">
        <f t="shared" si="380"/>
        <v>-0,0000504684572142411</v>
      </c>
      <c r="AT416" t="str">
        <f t="shared" si="381"/>
        <v>0,134828884299946i</v>
      </c>
      <c r="AU416">
        <f t="shared" si="405"/>
        <v>0.134828884299946</v>
      </c>
      <c r="AV416">
        <f t="shared" si="406"/>
        <v>1.5707963267949</v>
      </c>
      <c r="AW416" t="str">
        <f t="shared" si="382"/>
        <v>1+6,90299157548267i</v>
      </c>
      <c r="AX416">
        <f t="shared" si="407"/>
        <v>6.97504786300314</v>
      </c>
      <c r="AY416">
        <f t="shared" si="408"/>
        <v>1.42693239367222</v>
      </c>
      <c r="AZ416" t="str">
        <f t="shared" si="383"/>
        <v>1+330,021746172543i</v>
      </c>
      <c r="BA416">
        <f t="shared" si="409"/>
        <v>330.023261220742</v>
      </c>
      <c r="BB416">
        <f t="shared" si="410"/>
        <v>1.56776623271441</v>
      </c>
      <c r="BC416" s="30" t="str">
        <f t="shared" si="411"/>
        <v>-0,00248602144207587+0,0175352999479073i</v>
      </c>
      <c r="BD416" s="32">
        <f t="shared" si="412"/>
        <v>-35.0353110486845</v>
      </c>
      <c r="BE416" s="31">
        <f t="shared" si="413"/>
        <v>98.0691845897422</v>
      </c>
      <c r="BF416" s="30" t="str">
        <f t="shared" si="414"/>
        <v>0,0185545403089526-0,0267374074685032i</v>
      </c>
      <c r="BG416" s="68">
        <f t="shared" si="415"/>
        <v>-29.750384601384</v>
      </c>
      <c r="BH416" s="31">
        <f t="shared" si="416"/>
        <v>-55.2411172206749</v>
      </c>
      <c r="BI416" s="30" t="str">
        <f t="shared" si="369"/>
        <v>0,0658035428387971+0,0443312589668012i</v>
      </c>
      <c r="BJ416" s="68">
        <f t="shared" si="417"/>
        <v>-22.0097896257065</v>
      </c>
      <c r="BK416" s="31">
        <f t="shared" si="370"/>
        <v>33.9677969573109</v>
      </c>
      <c r="BL416" s="32">
        <f t="shared" si="418"/>
        <v>-29.750384601384</v>
      </c>
      <c r="BM416" s="31">
        <f t="shared" si="419"/>
        <v>-55.2411172206749</v>
      </c>
      <c r="BO416">
        <f t="shared" si="420"/>
        <v>0</v>
      </c>
      <c r="BP416">
        <f t="shared" si="421"/>
        <v>0</v>
      </c>
    </row>
    <row r="417" spans="14:68">
      <c r="N417" s="7">
        <v>99</v>
      </c>
      <c r="O417" s="18">
        <f t="shared" si="371"/>
        <v>97723.7220955813</v>
      </c>
      <c r="P417" s="86" t="str">
        <f t="shared" si="372"/>
        <v>163,636363636364</v>
      </c>
      <c r="Q417" s="4" t="str">
        <f t="shared" si="373"/>
        <v>1+3751,08112043957i</v>
      </c>
      <c r="R417" s="4">
        <f t="shared" si="384"/>
        <v>3751.08125373447</v>
      </c>
      <c r="S417" s="4">
        <f t="shared" si="385"/>
        <v>1.57052973699206</v>
      </c>
      <c r="T417" s="4" t="str">
        <f t="shared" si="374"/>
        <v>1+9,6277748757949i</v>
      </c>
      <c r="U417" s="4">
        <f t="shared" si="386"/>
        <v>9.67956864012997</v>
      </c>
      <c r="V417" s="4">
        <f t="shared" si="387"/>
        <v>1.46730127708203</v>
      </c>
      <c r="W417" t="str">
        <f t="shared" si="375"/>
        <v>1-9,21024382250788i</v>
      </c>
      <c r="X417" s="4">
        <f t="shared" si="388"/>
        <v>9.26437214656474</v>
      </c>
      <c r="Y417" s="4">
        <f t="shared" si="389"/>
        <v>-1.4626452193763</v>
      </c>
      <c r="Z417" t="str">
        <f t="shared" si="376"/>
        <v>0,92204142154927+1,90783622037663i</v>
      </c>
      <c r="AA417" s="4">
        <f t="shared" si="390"/>
        <v>2.11896187479473</v>
      </c>
      <c r="AB417" s="4">
        <f t="shared" si="391"/>
        <v>1.12060447544654</v>
      </c>
      <c r="AC417" s="67" t="str">
        <f t="shared" si="392"/>
        <v>-1,65825161124989-0,811512969714083i</v>
      </c>
      <c r="AD417" s="68">
        <f t="shared" si="393"/>
        <v>5.3254440305258</v>
      </c>
      <c r="AE417" s="31">
        <f t="shared" si="394"/>
        <v>-153.923860020287</v>
      </c>
      <c r="AF417" s="32" t="str">
        <f t="shared" si="395"/>
        <v>748,315388573934</v>
      </c>
      <c r="AG417" s="32" t="str">
        <f t="shared" si="377"/>
        <v>1+3056,43646850632i</v>
      </c>
      <c r="AH417" s="32">
        <f t="shared" si="396"/>
        <v>3056.43663209552</v>
      </c>
      <c r="AI417" s="32">
        <f t="shared" si="397"/>
        <v>1.57046914840443</v>
      </c>
      <c r="AJ417" s="32" t="str">
        <f t="shared" si="378"/>
        <v>1+9,6277748757949i</v>
      </c>
      <c r="AK417" s="32">
        <f t="shared" si="398"/>
        <v>9.67956864012997</v>
      </c>
      <c r="AL417" s="32">
        <f t="shared" si="399"/>
        <v>1.46730127708203</v>
      </c>
      <c r="AM417" s="32" t="str">
        <f t="shared" si="379"/>
        <v>1-1,64102746821313i</v>
      </c>
      <c r="AN417" s="32">
        <f t="shared" si="400"/>
        <v>1.92171047544369</v>
      </c>
      <c r="AO417" s="32">
        <f t="shared" si="401"/>
        <v>-1.02351244058224</v>
      </c>
      <c r="AP417" s="30" t="str">
        <f t="shared" si="402"/>
        <v>1,9567618902057-4,11241166163945i</v>
      </c>
      <c r="AQ417" s="32">
        <f t="shared" si="403"/>
        <v>13.1682648300397</v>
      </c>
      <c r="AR417" s="31">
        <f t="shared" si="404"/>
        <v>-64.5540267326193</v>
      </c>
      <c r="AS417" t="str">
        <f t="shared" si="380"/>
        <v>-0,0000504684572142411</v>
      </c>
      <c r="AT417" t="str">
        <f t="shared" si="381"/>
        <v>0,137969452461168i</v>
      </c>
      <c r="AU417">
        <f t="shared" si="405"/>
        <v>0.137969452461168</v>
      </c>
      <c r="AV417">
        <f t="shared" si="406"/>
        <v>1.5707963267949</v>
      </c>
      <c r="AW417" t="str">
        <f t="shared" si="382"/>
        <v>1+7,0637829049645i</v>
      </c>
      <c r="AX417">
        <f t="shared" si="407"/>
        <v>7.13421536880326</v>
      </c>
      <c r="AY417">
        <f t="shared" si="408"/>
        <v>1.43016363930917</v>
      </c>
      <c r="AZ417" t="str">
        <f t="shared" si="383"/>
        <v>1+337,708940158621i</v>
      </c>
      <c r="BA417">
        <f t="shared" si="409"/>
        <v>337.710420720266</v>
      </c>
      <c r="BB417">
        <f t="shared" si="410"/>
        <v>1.56783520566857</v>
      </c>
      <c r="BC417" s="30" t="str">
        <f t="shared" si="411"/>
        <v>-0,00237633039415671+0,0171516764447468i</v>
      </c>
      <c r="BD417" s="32">
        <f t="shared" si="412"/>
        <v>-35.2312933163532</v>
      </c>
      <c r="BE417" s="31">
        <f t="shared" si="413"/>
        <v>97.887999711349</v>
      </c>
      <c r="BF417" s="30" t="str">
        <f t="shared" si="414"/>
        <v>0,017859361592224-0,0265133721649542i</v>
      </c>
      <c r="BG417" s="68">
        <f t="shared" si="415"/>
        <v>-29.9058492858274</v>
      </c>
      <c r="BH417" s="31">
        <f t="shared" si="416"/>
        <v>-56.0358603089382</v>
      </c>
      <c r="BI417" s="30" t="str">
        <f t="shared" si="369"/>
        <v>0,0658848414742201+0,0433341956450577i</v>
      </c>
      <c r="BJ417" s="68">
        <f t="shared" si="417"/>
        <v>-22.0630284863135</v>
      </c>
      <c r="BK417" s="31">
        <f t="shared" si="370"/>
        <v>33.3339729787297</v>
      </c>
      <c r="BL417" s="32">
        <f t="shared" si="418"/>
        <v>-29.9058492858274</v>
      </c>
      <c r="BM417" s="31">
        <f t="shared" si="419"/>
        <v>-56.0358603089382</v>
      </c>
      <c r="BO417">
        <f t="shared" si="420"/>
        <v>0</v>
      </c>
      <c r="BP417">
        <f t="shared" si="421"/>
        <v>0</v>
      </c>
    </row>
    <row r="418" spans="14:68">
      <c r="N418" s="7">
        <v>100</v>
      </c>
      <c r="O418" s="18">
        <f t="shared" si="371"/>
        <v>100000</v>
      </c>
      <c r="P418" s="86" t="str">
        <f t="shared" si="372"/>
        <v>163,636363636364</v>
      </c>
      <c r="Q418" s="4" t="str">
        <f t="shared" si="373"/>
        <v>1+3838,45502402245i</v>
      </c>
      <c r="R418" s="4">
        <f t="shared" si="384"/>
        <v>3838.45515428319</v>
      </c>
      <c r="S418" s="4">
        <f t="shared" si="385"/>
        <v>1.57053580531656</v>
      </c>
      <c r="T418" s="4" t="str">
        <f t="shared" si="374"/>
        <v>1+9,8520345616576i</v>
      </c>
      <c r="U418" s="4">
        <f t="shared" si="386"/>
        <v>9.90265545215504</v>
      </c>
      <c r="V418" s="4">
        <f t="shared" si="387"/>
        <v>1.4696408895825</v>
      </c>
      <c r="W418" t="str">
        <f t="shared" si="375"/>
        <v>1-9,4247779607694i</v>
      </c>
      <c r="X418" s="4">
        <f t="shared" si="388"/>
        <v>9.47768113041395</v>
      </c>
      <c r="Y418" s="4">
        <f t="shared" si="389"/>
        <v>-1.46508853041441</v>
      </c>
      <c r="Z418" t="str">
        <f t="shared" si="376"/>
        <v>0,918367346938775+1,9522754347308i</v>
      </c>
      <c r="AA418" s="4">
        <f t="shared" si="390"/>
        <v>2.15749344309008</v>
      </c>
      <c r="AB418" s="4">
        <f t="shared" si="391"/>
        <v>1.13110074011917</v>
      </c>
      <c r="AC418" s="67" t="str">
        <f t="shared" si="392"/>
        <v>-1,67428669956113-0,797462718240404i</v>
      </c>
      <c r="AD418" s="68">
        <f t="shared" si="393"/>
        <v>5.36455252462248</v>
      </c>
      <c r="AE418" s="31">
        <f t="shared" si="394"/>
        <v>-154.531540864612</v>
      </c>
      <c r="AF418" s="32" t="str">
        <f t="shared" si="395"/>
        <v>748,315388573934</v>
      </c>
      <c r="AG418" s="32" t="str">
        <f t="shared" si="377"/>
        <v>1+3127,63001957384i</v>
      </c>
      <c r="AH418" s="32">
        <f t="shared" si="396"/>
        <v>3127.63017943929</v>
      </c>
      <c r="AI418" s="32">
        <f t="shared" si="397"/>
        <v>1.57047659589333</v>
      </c>
      <c r="AJ418" s="32" t="str">
        <f t="shared" si="378"/>
        <v>1+9,8520345616576i</v>
      </c>
      <c r="AK418" s="32">
        <f t="shared" si="398"/>
        <v>9.90265545215504</v>
      </c>
      <c r="AL418" s="32">
        <f t="shared" si="399"/>
        <v>1.4696408895825</v>
      </c>
      <c r="AM418" s="32" t="str">
        <f t="shared" si="379"/>
        <v>1-1,67925190836272i</v>
      </c>
      <c r="AN418" s="32">
        <f t="shared" si="400"/>
        <v>1.95445311321091</v>
      </c>
      <c r="AO418" s="32">
        <f t="shared" si="401"/>
        <v>-1.03368980714009</v>
      </c>
      <c r="AP418" s="30" t="str">
        <f t="shared" si="402"/>
        <v>1,95675829436183-4,19695556549064i</v>
      </c>
      <c r="AQ418" s="32">
        <f t="shared" si="403"/>
        <v>13.3129241228397</v>
      </c>
      <c r="AR418" s="31">
        <f t="shared" si="404"/>
        <v>-65.003523670651</v>
      </c>
      <c r="AS418" t="str">
        <f t="shared" si="380"/>
        <v>-0,0000504684572142411</v>
      </c>
      <c r="AT418" t="str">
        <f t="shared" si="381"/>
        <v>0,141183173852325i</v>
      </c>
      <c r="AU418">
        <f t="shared" si="405"/>
        <v>0.141183173852325</v>
      </c>
      <c r="AV418">
        <f t="shared" si="406"/>
        <v>1.5707963267949</v>
      </c>
      <c r="AW418" t="str">
        <f t="shared" si="382"/>
        <v>1+7,22831954564274i</v>
      </c>
      <c r="AX418">
        <f t="shared" si="407"/>
        <v>7.29716406927519</v>
      </c>
      <c r="AY418">
        <f t="shared" si="408"/>
        <v>1.43332419190806</v>
      </c>
      <c r="AZ418" t="str">
        <f t="shared" si="383"/>
        <v>1+345,575191894877i</v>
      </c>
      <c r="BA418">
        <f t="shared" si="409"/>
        <v>345.576638754967</v>
      </c>
      <c r="BB418">
        <f t="shared" si="410"/>
        <v>1.56790260863384</v>
      </c>
      <c r="BC418" s="30" t="str">
        <f t="shared" si="411"/>
        <v>-0,00227138645841965+0,0167757750652735i</v>
      </c>
      <c r="BD418" s="32">
        <f t="shared" si="412"/>
        <v>-35.4274529358366</v>
      </c>
      <c r="BE418" s="31">
        <f t="shared" si="413"/>
        <v>97.7107752919402</v>
      </c>
      <c r="BF418" s="30" t="str">
        <f t="shared" si="414"/>
        <v>0,0171810073210379-0,0262761110473109i</v>
      </c>
      <c r="BG418" s="68">
        <f t="shared" si="415"/>
        <v>-30.0629004112141</v>
      </c>
      <c r="BH418" s="31">
        <f t="shared" si="416"/>
        <v>-56.820765572672</v>
      </c>
      <c r="BI418" s="30" t="str">
        <f t="shared" si="369"/>
        <v>0,0659626282334049+0,0423590450413667i</v>
      </c>
      <c r="BJ418" s="68">
        <f t="shared" si="417"/>
        <v>-22.1145288129969</v>
      </c>
      <c r="BK418" s="31">
        <f t="shared" si="370"/>
        <v>32.7072516212892</v>
      </c>
      <c r="BL418" s="32">
        <f t="shared" si="418"/>
        <v>-30.0629004112141</v>
      </c>
      <c r="BM418" s="31">
        <f t="shared" si="419"/>
        <v>-56.820765572672</v>
      </c>
      <c r="BO418">
        <f t="shared" si="420"/>
        <v>0</v>
      </c>
      <c r="BP418">
        <f t="shared" si="421"/>
        <v>0</v>
      </c>
    </row>
    <row r="419" spans="14:68">
      <c r="N419" s="7">
        <v>1</v>
      </c>
      <c r="O419" s="18">
        <f>10^(5+(N419/100))</f>
        <v>102329.299228075</v>
      </c>
      <c r="P419" s="86" t="str">
        <f t="shared" si="372"/>
        <v>163,636363636364</v>
      </c>
      <c r="Q419" s="4" t="str">
        <f t="shared" si="373"/>
        <v>1+3927,864127267i</v>
      </c>
      <c r="R419" s="4">
        <f t="shared" si="384"/>
        <v>3927.86425456264</v>
      </c>
      <c r="S419" s="4">
        <f t="shared" si="385"/>
        <v>1.57054173550915</v>
      </c>
      <c r="T419" s="4" t="str">
        <f t="shared" si="374"/>
        <v>1+10,081517926652i</v>
      </c>
      <c r="U419" s="4">
        <f t="shared" si="386"/>
        <v>10.1309922369631</v>
      </c>
      <c r="V419" s="4">
        <f t="shared" si="387"/>
        <v>1.47192832023709</v>
      </c>
      <c r="W419" t="str">
        <f t="shared" si="375"/>
        <v>1-9,64430924105737i</v>
      </c>
      <c r="X419" s="4">
        <f t="shared" si="388"/>
        <v>9.69601468321622</v>
      </c>
      <c r="Y419" s="4">
        <f t="shared" si="389"/>
        <v>-1.46747744964045</v>
      </c>
      <c r="Z419" t="str">
        <f t="shared" si="376"/>
        <v>0,914520118526458+1,99774977136188i</v>
      </c>
      <c r="AA419" s="4">
        <f t="shared" si="390"/>
        <v>2.1971233912018</v>
      </c>
      <c r="AB419" s="4">
        <f t="shared" si="391"/>
        <v>1.1414954615101</v>
      </c>
      <c r="AC419" s="67" t="str">
        <f t="shared" si="392"/>
        <v>-1,68989405398225-0,783230349373428i</v>
      </c>
      <c r="AD419" s="68">
        <f t="shared" si="393"/>
        <v>5.4022829790701</v>
      </c>
      <c r="AE419" s="31">
        <f t="shared" si="394"/>
        <v>-155.133269171347</v>
      </c>
      <c r="AF419" s="32" t="str">
        <f t="shared" si="395"/>
        <v>748,315388573934</v>
      </c>
      <c r="AG419" s="32" t="str">
        <f t="shared" si="377"/>
        <v>1+3200,48188147682i</v>
      </c>
      <c r="AH419" s="32">
        <f t="shared" si="396"/>
        <v>3200.48203770329</v>
      </c>
      <c r="AI419" s="32">
        <f t="shared" si="397"/>
        <v>1.57048387385672</v>
      </c>
      <c r="AJ419" s="32" t="str">
        <f t="shared" si="378"/>
        <v>1+10,081517926652i</v>
      </c>
      <c r="AK419" s="32">
        <f t="shared" si="398"/>
        <v>10.1309922369631</v>
      </c>
      <c r="AL419" s="32">
        <f t="shared" si="399"/>
        <v>1.47192832023709</v>
      </c>
      <c r="AM419" s="32" t="str">
        <f t="shared" si="379"/>
        <v>1-1,71836671010164i</v>
      </c>
      <c r="AN419" s="32">
        <f t="shared" si="400"/>
        <v>1.98816099709896</v>
      </c>
      <c r="AO419" s="32">
        <f t="shared" si="401"/>
        <v>-1.04375614868997</v>
      </c>
      <c r="AP419" s="30" t="str">
        <f t="shared" si="402"/>
        <v>1,95675486035756-4,28372475063238i</v>
      </c>
      <c r="AQ419" s="32">
        <f t="shared" si="403"/>
        <v>13.4594562893094</v>
      </c>
      <c r="AR419" s="31">
        <f t="shared" si="404"/>
        <v>-65.4496394307448</v>
      </c>
      <c r="AS419" t="str">
        <f t="shared" si="380"/>
        <v>-0,0000504684572142411</v>
      </c>
      <c r="AT419" t="str">
        <f t="shared" si="381"/>
        <v>0,144471752431039i</v>
      </c>
      <c r="AU419">
        <f t="shared" si="405"/>
        <v>0.144471752431039</v>
      </c>
      <c r="AV419">
        <f t="shared" si="406"/>
        <v>1.5707963267949</v>
      </c>
      <c r="AW419" t="str">
        <f t="shared" si="382"/>
        <v>1+7,39668873702219i</v>
      </c>
      <c r="AX419">
        <f t="shared" si="407"/>
        <v>7.46398045766406</v>
      </c>
      <c r="AY419">
        <f t="shared" si="408"/>
        <v>1.4364154745348</v>
      </c>
      <c r="AZ419" t="str">
        <f t="shared" si="383"/>
        <v>1+353,624672172103i</v>
      </c>
      <c r="BA419">
        <f t="shared" si="409"/>
        <v>353.62608609777</v>
      </c>
      <c r="BB419">
        <f t="shared" si="410"/>
        <v>1.56796847734571</v>
      </c>
      <c r="BC419" s="30" t="str">
        <f t="shared" si="411"/>
        <v>-0,0021709922194839+0,0164074846666343i</v>
      </c>
      <c r="BD419" s="32">
        <f t="shared" si="412"/>
        <v>-35.6237822252144</v>
      </c>
      <c r="BE419" s="31">
        <f t="shared" si="413"/>
        <v>97.5374318433375</v>
      </c>
      <c r="BF419" s="30" t="str">
        <f t="shared" si="414"/>
        <v>0,0165195867907347-0,0260265237843969i</v>
      </c>
      <c r="BG419" s="68">
        <f t="shared" si="415"/>
        <v>-30.2214992461443</v>
      </c>
      <c r="BH419" s="31">
        <f t="shared" si="416"/>
        <v>-57.5958373280091</v>
      </c>
      <c r="BI419" s="30" t="str">
        <f t="shared" si="369"/>
        <v>0,066037048584809+0,0414053584717123i</v>
      </c>
      <c r="BJ419" s="68">
        <f t="shared" si="417"/>
        <v>-22.164325935905</v>
      </c>
      <c r="BK419" s="31">
        <f t="shared" si="370"/>
        <v>32.0877924125928</v>
      </c>
      <c r="BL419" s="32">
        <f t="shared" si="418"/>
        <v>-30.2214992461443</v>
      </c>
      <c r="BM419" s="31">
        <f t="shared" si="419"/>
        <v>-57.5958373280091</v>
      </c>
      <c r="BO419">
        <f t="shared" si="420"/>
        <v>0</v>
      </c>
      <c r="BP419">
        <f t="shared" si="421"/>
        <v>0</v>
      </c>
    </row>
    <row r="420" spans="14:68">
      <c r="N420" s="7">
        <v>2</v>
      </c>
      <c r="O420" s="18">
        <f t="shared" ref="O420:O483" si="422">10^(5+(N420/100))</f>
        <v>104712.85480509</v>
      </c>
      <c r="P420" s="86" t="str">
        <f t="shared" si="372"/>
        <v>163,636363636364</v>
      </c>
      <c r="Q420" s="4" t="str">
        <f t="shared" si="373"/>
        <v>1+4019,3558360633i</v>
      </c>
      <c r="R420" s="4">
        <f t="shared" si="384"/>
        <v>4019.35596046134</v>
      </c>
      <c r="S420" s="4">
        <f t="shared" si="385"/>
        <v>1.57054753071409</v>
      </c>
      <c r="T420" s="4" t="str">
        <f t="shared" si="374"/>
        <v>1+10,3163466458958i</v>
      </c>
      <c r="U420" s="4">
        <f t="shared" si="386"/>
        <v>10.3647000978458</v>
      </c>
      <c r="V420" s="4">
        <f t="shared" si="387"/>
        <v>1.47416468607041</v>
      </c>
      <c r="W420" t="str">
        <f t="shared" si="375"/>
        <v>1-9,86895406176257i</v>
      </c>
      <c r="X420" s="4">
        <f t="shared" si="388"/>
        <v>9.91948860945865</v>
      </c>
      <c r="Y420" s="4">
        <f t="shared" si="389"/>
        <v>-1.46981313456424</v>
      </c>
      <c r="Z420" t="str">
        <f t="shared" si="376"/>
        <v>0,910491575825045+2,0442833413651i</v>
      </c>
      <c r="AA420" s="4">
        <f t="shared" si="390"/>
        <v>2.23787606659333</v>
      </c>
      <c r="AB420" s="4">
        <f t="shared" si="391"/>
        <v>1.15178749593071</v>
      </c>
      <c r="AC420" s="67" t="str">
        <f t="shared" si="392"/>
        <v>-1,70507328364835-0,768832036466557i</v>
      </c>
      <c r="AD420" s="68">
        <f t="shared" si="393"/>
        <v>5.438666839331</v>
      </c>
      <c r="AE420" s="31">
        <f t="shared" si="394"/>
        <v>-155.728981911744</v>
      </c>
      <c r="AF420" s="32" t="str">
        <f t="shared" si="395"/>
        <v>748,315388573934</v>
      </c>
      <c r="AG420" s="32" t="str">
        <f t="shared" si="377"/>
        <v>1+3275,03068123676i</v>
      </c>
      <c r="AH420" s="32">
        <f t="shared" si="396"/>
        <v>3275.03083390708</v>
      </c>
      <c r="AI420" s="32">
        <f t="shared" si="397"/>
        <v>1.57049098615346</v>
      </c>
      <c r="AJ420" s="32" t="str">
        <f t="shared" si="378"/>
        <v>1+10,3163466458958i</v>
      </c>
      <c r="AK420" s="32">
        <f t="shared" si="398"/>
        <v>10.3647000978458</v>
      </c>
      <c r="AL420" s="32">
        <f t="shared" si="399"/>
        <v>1.47416468607041</v>
      </c>
      <c r="AM420" s="32" t="str">
        <f t="shared" si="379"/>
        <v>1-1,75839261261555i</v>
      </c>
      <c r="AN420" s="32">
        <f t="shared" si="400"/>
        <v>2.02285555097267</v>
      </c>
      <c r="AO420" s="32">
        <f t="shared" si="401"/>
        <v>-1.05370864170888</v>
      </c>
      <c r="AP420" s="30" t="str">
        <f t="shared" si="402"/>
        <v>1,95675158090891-4,37276522324213i</v>
      </c>
      <c r="AQ420" s="32">
        <f t="shared" si="403"/>
        <v>13.6078179000255</v>
      </c>
      <c r="AR420" s="31">
        <f t="shared" si="404"/>
        <v>-65.8921484572511</v>
      </c>
      <c r="AS420" t="str">
        <f t="shared" si="380"/>
        <v>-0,0000504684572142411</v>
      </c>
      <c r="AT420" t="str">
        <f t="shared" si="381"/>
        <v>0,147836931845203i</v>
      </c>
      <c r="AU420">
        <f t="shared" si="405"/>
        <v>0.147836931845203</v>
      </c>
      <c r="AV420">
        <f t="shared" si="406"/>
        <v>1.5707963267949</v>
      </c>
      <c r="AW420" t="str">
        <f t="shared" si="382"/>
        <v>1+7,56897975067682i</v>
      </c>
      <c r="AX420">
        <f t="shared" si="407"/>
        <v>7.63475307172116</v>
      </c>
      <c r="AY420">
        <f t="shared" si="408"/>
        <v>1.43943888978084</v>
      </c>
      <c r="AZ420" t="str">
        <f t="shared" si="383"/>
        <v>1+361,861648931294i</v>
      </c>
      <c r="BA420">
        <f t="shared" si="409"/>
        <v>361.863030672208</v>
      </c>
      <c r="BB420">
        <f t="shared" si="410"/>
        <v>1.56803284672635</v>
      </c>
      <c r="BC420" s="30" t="str">
        <f t="shared" si="411"/>
        <v>-0,00207495777619981+0,0160466926165289i</v>
      </c>
      <c r="BD420" s="32">
        <f t="shared" si="412"/>
        <v>-35.8202738226053</v>
      </c>
      <c r="BE420" s="31">
        <f t="shared" si="413"/>
        <v>97.3678910038649</v>
      </c>
      <c r="BF420" s="30" t="str">
        <f t="shared" si="414"/>
        <v>0,0158751664318155-0,0257654928587028i</v>
      </c>
      <c r="BG420" s="68">
        <f t="shared" si="415"/>
        <v>-30.3816069832743</v>
      </c>
      <c r="BH420" s="31">
        <f t="shared" si="416"/>
        <v>-58.3610909078788</v>
      </c>
      <c r="BI420" s="30" t="str">
        <f t="shared" si="369"/>
        <v>0,0661082425127156+0,0404726943492146i</v>
      </c>
      <c r="BJ420" s="68">
        <f t="shared" si="417"/>
        <v>-22.2124559225798</v>
      </c>
      <c r="BK420" s="31">
        <f t="shared" si="370"/>
        <v>31.4757425466138</v>
      </c>
      <c r="BL420" s="32">
        <f t="shared" si="418"/>
        <v>-30.3816069832743</v>
      </c>
      <c r="BM420" s="31">
        <f t="shared" si="419"/>
        <v>-58.3610909078788</v>
      </c>
      <c r="BO420">
        <f t="shared" si="420"/>
        <v>0</v>
      </c>
      <c r="BP420">
        <f t="shared" si="421"/>
        <v>0</v>
      </c>
    </row>
    <row r="421" spans="14:68">
      <c r="N421" s="7">
        <v>3</v>
      </c>
      <c r="O421" s="18">
        <f t="shared" si="422"/>
        <v>107151.930523761</v>
      </c>
      <c r="P421" s="86" t="str">
        <f t="shared" si="372"/>
        <v>163,636363636364</v>
      </c>
      <c r="Q421" s="4" t="str">
        <f t="shared" si="373"/>
        <v>1+4112,97866052634i</v>
      </c>
      <c r="R421" s="4">
        <f t="shared" si="384"/>
        <v>4112.97878209274</v>
      </c>
      <c r="S421" s="4">
        <f t="shared" si="385"/>
        <v>1.57055319400408</v>
      </c>
      <c r="T421" s="4" t="str">
        <f t="shared" si="374"/>
        <v>1+10,5566452286843i</v>
      </c>
      <c r="U421" s="4">
        <f t="shared" si="386"/>
        <v>10.6039029835388</v>
      </c>
      <c r="V421" s="4">
        <f t="shared" si="387"/>
        <v>1.4763510833056</v>
      </c>
      <c r="W421" t="str">
        <f t="shared" si="375"/>
        <v>1-10,0988315325424i</v>
      </c>
      <c r="X421" s="4">
        <f t="shared" si="388"/>
        <v>10.1482214364229</v>
      </c>
      <c r="Y421" s="4">
        <f t="shared" si="389"/>
        <v>-1.47209672160382</v>
      </c>
      <c r="Z421" t="str">
        <f t="shared" si="376"/>
        <v>0,906273173755355+2,0919008174552i</v>
      </c>
      <c r="AA421" s="4">
        <f t="shared" si="390"/>
        <v>2.27977632576934</v>
      </c>
      <c r="AB421" s="4">
        <f t="shared" si="391"/>
        <v>1.16197590780817</v>
      </c>
      <c r="AC421" s="67" t="str">
        <f t="shared" si="392"/>
        <v>-1,71982484617204-0,754283528253786i</v>
      </c>
      <c r="AD421" s="68">
        <f t="shared" si="393"/>
        <v>5.47373584275646</v>
      </c>
      <c r="AE421" s="31">
        <f t="shared" si="394"/>
        <v>-156.318627960481</v>
      </c>
      <c r="AF421" s="32" t="str">
        <f t="shared" si="395"/>
        <v>748,315388573934</v>
      </c>
      <c r="AG421" s="32" t="str">
        <f t="shared" si="377"/>
        <v>1+3351,31594561405i</v>
      </c>
      <c r="AH421" s="32">
        <f t="shared" si="396"/>
        <v>3351.31609480917</v>
      </c>
      <c r="AI421" s="32">
        <f t="shared" si="397"/>
        <v>1.5704979365546</v>
      </c>
      <c r="AJ421" s="32" t="str">
        <f t="shared" si="378"/>
        <v>1+10,5566452286843i</v>
      </c>
      <c r="AK421" s="32">
        <f t="shared" si="398"/>
        <v>10.6039029835388</v>
      </c>
      <c r="AL421" s="32">
        <f t="shared" si="399"/>
        <v>1.4763510833056</v>
      </c>
      <c r="AM421" s="32" t="str">
        <f t="shared" si="379"/>
        <v>1-1,79935083816775i</v>
      </c>
      <c r="AN421" s="32">
        <f t="shared" si="400"/>
        <v>2.05855858279889</v>
      </c>
      <c r="AO421" s="32">
        <f t="shared" si="401"/>
        <v>-1.06354467599279</v>
      </c>
      <c r="AP421" s="30" t="str">
        <f t="shared" si="402"/>
        <v>1,95674844905974-4,46412419376355i</v>
      </c>
      <c r="AQ421" s="32">
        <f t="shared" si="403"/>
        <v>13.7579652083582</v>
      </c>
      <c r="AR421" s="31">
        <f t="shared" si="404"/>
        <v>-66.3308386036009</v>
      </c>
      <c r="AS421" t="str">
        <f t="shared" si="380"/>
        <v>-0,0000504684572142411</v>
      </c>
      <c r="AT421" t="str">
        <f t="shared" si="381"/>
        <v>0,151280496357484i</v>
      </c>
      <c r="AU421">
        <f t="shared" si="405"/>
        <v>0.151280496357484</v>
      </c>
      <c r="AV421">
        <f t="shared" si="406"/>
        <v>1.5707963267949</v>
      </c>
      <c r="AW421" t="str">
        <f t="shared" si="382"/>
        <v>1+7,74528393758255i</v>
      </c>
      <c r="AX421">
        <f t="shared" si="407"/>
        <v>7.80957254104053</v>
      </c>
      <c r="AY421">
        <f t="shared" si="408"/>
        <v>1.44239581948677</v>
      </c>
      <c r="AZ421" t="str">
        <f t="shared" si="383"/>
        <v>1+370,290489526552i</v>
      </c>
      <c r="BA421">
        <f t="shared" si="409"/>
        <v>370.291839815319</v>
      </c>
      <c r="BB421">
        <f t="shared" si="410"/>
        <v>1.56809575090314</v>
      </c>
      <c r="BC421" s="30" t="str">
        <f t="shared" si="411"/>
        <v>-0,00198310051682358+0,0156932850646604i</v>
      </c>
      <c r="BD421" s="32">
        <f t="shared" si="412"/>
        <v>-36.0169206739344</v>
      </c>
      <c r="BE421" s="31">
        <f t="shared" si="413"/>
        <v>97.2020755552416</v>
      </c>
      <c r="BF421" s="30" t="str">
        <f t="shared" si="414"/>
        <v>0,0152477719697543-0,0254938815175519i</v>
      </c>
      <c r="BG421" s="68">
        <f t="shared" si="415"/>
        <v>-30.5431848311779</v>
      </c>
      <c r="BH421" s="31">
        <f t="shared" si="416"/>
        <v>-59.1165524052397</v>
      </c>
      <c r="BI421" s="30" t="str">
        <f t="shared" si="369"/>
        <v>0,0661763446761546+0,0395606182067438i</v>
      </c>
      <c r="BJ421" s="68">
        <f t="shared" si="417"/>
        <v>-22.2589554655762</v>
      </c>
      <c r="BK421" s="31">
        <f t="shared" si="370"/>
        <v>30.8712369516408</v>
      </c>
      <c r="BL421" s="32">
        <f t="shared" si="418"/>
        <v>-30.5431848311779</v>
      </c>
      <c r="BM421" s="31">
        <f t="shared" si="419"/>
        <v>-59.1165524052397</v>
      </c>
      <c r="BO421">
        <f t="shared" si="420"/>
        <v>0</v>
      </c>
      <c r="BP421">
        <f t="shared" si="421"/>
        <v>0</v>
      </c>
    </row>
    <row r="422" spans="14:68">
      <c r="N422" s="7">
        <v>4</v>
      </c>
      <c r="O422" s="18">
        <f t="shared" si="422"/>
        <v>109647.819614319</v>
      </c>
      <c r="P422" s="86" t="str">
        <f t="shared" si="372"/>
        <v>163,636363636364</v>
      </c>
      <c r="Q422" s="4" t="str">
        <f t="shared" si="373"/>
        <v>1+4208,78224071689i</v>
      </c>
      <c r="R422" s="4">
        <f t="shared" si="384"/>
        <v>4208.7823595161</v>
      </c>
      <c r="S422" s="4">
        <f t="shared" si="385"/>
        <v>1.57055872838187</v>
      </c>
      <c r="T422" s="4" t="str">
        <f t="shared" si="374"/>
        <v>1+10,8025410845067i</v>
      </c>
      <c r="U422" s="4">
        <f t="shared" si="386"/>
        <v>10.8487277540943</v>
      </c>
      <c r="V422" s="4">
        <f t="shared" si="387"/>
        <v>1.47848858753972</v>
      </c>
      <c r="W422" t="str">
        <f t="shared" si="375"/>
        <v>1-10,3340635374745i</v>
      </c>
      <c r="X422" s="4">
        <f t="shared" si="388"/>
        <v>10.382334477205</v>
      </c>
      <c r="Y422" s="4">
        <f t="shared" si="389"/>
        <v>-1.47432932622799</v>
      </c>
      <c r="Z422" t="str">
        <f t="shared" si="376"/>
        <v>0,901855964521026+2,14062744704829i</v>
      </c>
      <c r="AA422" s="4">
        <f t="shared" si="390"/>
        <v>2.32284955341465</v>
      </c>
      <c r="AB422" s="4">
        <f t="shared" si="391"/>
        <v>1.17205996506093</v>
      </c>
      <c r="AC422" s="67" t="str">
        <f t="shared" si="392"/>
        <v>-1,73414999796794-0,739600108191098i</v>
      </c>
      <c r="AD422" s="68">
        <f t="shared" si="393"/>
        <v>5.50752191968491</v>
      </c>
      <c r="AE422" s="31">
        <f t="shared" si="394"/>
        <v>-156.902167828903</v>
      </c>
      <c r="AF422" s="32" t="str">
        <f t="shared" si="395"/>
        <v>748,315388573934</v>
      </c>
      <c r="AG422" s="32" t="str">
        <f t="shared" si="377"/>
        <v>1+3429,37812206562i</v>
      </c>
      <c r="AH422" s="32">
        <f t="shared" si="396"/>
        <v>3429.37826786465</v>
      </c>
      <c r="AI422" s="32">
        <f t="shared" si="397"/>
        <v>1.57050472874532</v>
      </c>
      <c r="AJ422" s="32" t="str">
        <f t="shared" si="378"/>
        <v>1+10,8025410845067i</v>
      </c>
      <c r="AK422" s="32">
        <f t="shared" si="398"/>
        <v>10.8487277540943</v>
      </c>
      <c r="AL422" s="32">
        <f t="shared" si="399"/>
        <v>1.47848858753972</v>
      </c>
      <c r="AM422" s="32" t="str">
        <f t="shared" si="379"/>
        <v>1-1,84126310335156i</v>
      </c>
      <c r="AN422" s="32">
        <f t="shared" si="400"/>
        <v>2.09529229840703</v>
      </c>
      <c r="AO422" s="32">
        <f t="shared" si="401"/>
        <v>-1.07326185314832</v>
      </c>
      <c r="AP422" s="30" t="str">
        <f t="shared" si="402"/>
        <v>1,95674545816697-4,55785010193791i</v>
      </c>
      <c r="AQ422" s="32">
        <f t="shared" si="403"/>
        <v>13.9098542479173</v>
      </c>
      <c r="AR422" s="31">
        <f t="shared" si="404"/>
        <v>-66.7655110359492</v>
      </c>
      <c r="AS422" t="str">
        <f t="shared" si="380"/>
        <v>-0,0000504684572142411</v>
      </c>
      <c r="AT422" t="str">
        <f t="shared" si="381"/>
        <v>0,154804271791368i</v>
      </c>
      <c r="AU422">
        <f t="shared" si="405"/>
        <v>0.154804271791368</v>
      </c>
      <c r="AV422">
        <f t="shared" si="406"/>
        <v>1.5707963267949</v>
      </c>
      <c r="AW422" t="str">
        <f t="shared" si="382"/>
        <v>1+7,92569477655292i</v>
      </c>
      <c r="AX422">
        <f t="shared" si="407"/>
        <v>7.98853163548084</v>
      </c>
      <c r="AY422">
        <f t="shared" si="408"/>
        <v>1.44528762451635</v>
      </c>
      <c r="AZ422" t="str">
        <f t="shared" si="383"/>
        <v>1+378,915663040731i</v>
      </c>
      <c r="BA422">
        <f t="shared" si="409"/>
        <v>378.916982593281</v>
      </c>
      <c r="BB422">
        <f t="shared" si="410"/>
        <v>1.5681572232267</v>
      </c>
      <c r="BC422" s="30" t="str">
        <f t="shared" si="411"/>
        <v>-0,0018952448952337+0,0153471471953038i</v>
      </c>
      <c r="BD422" s="32">
        <f t="shared" si="412"/>
        <v>-36.213716021072</v>
      </c>
      <c r="BE422" s="31">
        <f t="shared" si="413"/>
        <v>97.0399094365689</v>
      </c>
      <c r="BF422" s="30" t="str">
        <f t="shared" si="414"/>
        <v>0,0146373906572897-0,0252125319479863i</v>
      </c>
      <c r="BG422" s="68">
        <f t="shared" si="415"/>
        <v>-30.7061941013871</v>
      </c>
      <c r="BH422" s="31">
        <f t="shared" si="416"/>
        <v>-59.8622583923336</v>
      </c>
      <c r="BI422" s="30" t="str">
        <f t="shared" si="369"/>
        <v>0,0662414845677088+0,0386687027091689i</v>
      </c>
      <c r="BJ422" s="68">
        <f t="shared" si="417"/>
        <v>-22.3038617731547</v>
      </c>
      <c r="BK422" s="31">
        <f t="shared" si="370"/>
        <v>30.2743984006197</v>
      </c>
      <c r="BL422" s="32">
        <f t="shared" si="418"/>
        <v>-30.7061941013871</v>
      </c>
      <c r="BM422" s="31">
        <f t="shared" si="419"/>
        <v>-59.8622583923336</v>
      </c>
      <c r="BO422">
        <f t="shared" si="420"/>
        <v>0</v>
      </c>
      <c r="BP422">
        <f t="shared" si="421"/>
        <v>0</v>
      </c>
    </row>
    <row r="423" spans="14:68">
      <c r="N423" s="7">
        <v>5</v>
      </c>
      <c r="O423" s="18">
        <f t="shared" si="422"/>
        <v>112201.845430197</v>
      </c>
      <c r="P423" s="86" t="str">
        <f t="shared" si="372"/>
        <v>163,636363636364</v>
      </c>
      <c r="Q423" s="4" t="str">
        <f t="shared" si="373"/>
        <v>1+4306,81737296129i</v>
      </c>
      <c r="R423" s="4">
        <f t="shared" si="384"/>
        <v>4306.8174890563</v>
      </c>
      <c r="S423" s="4">
        <f t="shared" si="385"/>
        <v>1.57056413678185</v>
      </c>
      <c r="T423" s="4" t="str">
        <f t="shared" si="374"/>
        <v>1+11,0541645906006i</v>
      </c>
      <c r="U423" s="4">
        <f t="shared" si="386"/>
        <v>11.0993042482891</v>
      </c>
      <c r="V423" s="4">
        <f t="shared" si="387"/>
        <v>1.48057825393395</v>
      </c>
      <c r="W423" t="str">
        <f t="shared" si="375"/>
        <v>1-10,5747747996817i</v>
      </c>
      <c r="X423" s="4">
        <f t="shared" si="388"/>
        <v>10.6219518952019</v>
      </c>
      <c r="Y423" s="4">
        <f t="shared" si="389"/>
        <v>-1.47651204311659</v>
      </c>
      <c r="Z423" t="str">
        <f t="shared" si="376"/>
        <v>0,897230578629046+2,19048906564836i</v>
      </c>
      <c r="AA423" s="4">
        <f t="shared" si="390"/>
        <v>2.36712168211777</v>
      </c>
      <c r="AB423" s="4">
        <f t="shared" si="391"/>
        <v>1.18203913405655</v>
      </c>
      <c r="AC423" s="67" t="str">
        <f t="shared" si="392"/>
        <v>-1,74805074336984-0,724796558685401i</v>
      </c>
      <c r="AD423" s="68">
        <f t="shared" si="393"/>
        <v>5.54005709985314</v>
      </c>
      <c r="AE423" s="31">
        <f t="shared" si="394"/>
        <v>-157.479573374501</v>
      </c>
      <c r="AF423" s="32" t="str">
        <f t="shared" si="395"/>
        <v>748,315388573934</v>
      </c>
      <c r="AG423" s="32" t="str">
        <f t="shared" si="377"/>
        <v>1+3509,25860019068i</v>
      </c>
      <c r="AH423" s="32">
        <f t="shared" si="396"/>
        <v>3509.25874267092</v>
      </c>
      <c r="AI423" s="32">
        <f t="shared" si="397"/>
        <v>1.57051136632693</v>
      </c>
      <c r="AJ423" s="32" t="str">
        <f t="shared" si="378"/>
        <v>1+11,0541645906006i</v>
      </c>
      <c r="AK423" s="32">
        <f t="shared" si="398"/>
        <v>11.0993042482891</v>
      </c>
      <c r="AL423" s="32">
        <f t="shared" si="399"/>
        <v>1.48057825393395</v>
      </c>
      <c r="AM423" s="32" t="str">
        <f t="shared" si="379"/>
        <v>1-1,88415163060477i</v>
      </c>
      <c r="AN423" s="32">
        <f t="shared" si="400"/>
        <v>2.13307931571018</v>
      </c>
      <c r="AO423" s="32">
        <f t="shared" si="401"/>
        <v>-1.08285798435978</v>
      </c>
      <c r="AP423" s="30" t="str">
        <f t="shared" si="402"/>
        <v>1,95674260188653-4,65399264248813i</v>
      </c>
      <c r="AQ423" s="32">
        <f t="shared" si="403"/>
        <v>14.0634409268672</v>
      </c>
      <c r="AR423" s="31">
        <f t="shared" si="404"/>
        <v>-67.195980094452</v>
      </c>
      <c r="AS423" t="str">
        <f t="shared" si="380"/>
        <v>-0,0000504684572142411</v>
      </c>
      <c r="AT423" t="str">
        <f t="shared" si="381"/>
        <v>0,158410126499232i</v>
      </c>
      <c r="AU423">
        <f t="shared" si="405"/>
        <v>0.158410126499232</v>
      </c>
      <c r="AV423">
        <f t="shared" si="406"/>
        <v>1.5707963267949</v>
      </c>
      <c r="AW423" t="str">
        <f t="shared" si="382"/>
        <v>1+8,11030792380279i</v>
      </c>
      <c r="AX423">
        <f t="shared" si="407"/>
        <v>8.17172531469936</v>
      </c>
      <c r="AY423">
        <f t="shared" si="408"/>
        <v>1.44811564457724</v>
      </c>
      <c r="AZ423" t="str">
        <f t="shared" si="383"/>
        <v>1+387,741742654997i</v>
      </c>
      <c r="BA423">
        <f t="shared" si="409"/>
        <v>387.743032170965</v>
      </c>
      <c r="BB423">
        <f t="shared" si="410"/>
        <v>1.56821729628861</v>
      </c>
      <c r="BC423" s="30" t="str">
        <f t="shared" si="411"/>
        <v>-0,00181122220883156+0,0150081634619538i</v>
      </c>
      <c r="BD423" s="32">
        <f t="shared" si="412"/>
        <v>-36.4106533903406</v>
      </c>
      <c r="BE423" s="31">
        <f t="shared" si="413"/>
        <v>96.8813177556117</v>
      </c>
      <c r="BF423" s="30" t="str">
        <f t="shared" si="414"/>
        <v>0,0140439735579681-0,0249222636723087i</v>
      </c>
      <c r="BG423" s="68">
        <f t="shared" si="415"/>
        <v>-30.8705962904875</v>
      </c>
      <c r="BH423" s="31">
        <f t="shared" si="416"/>
        <v>-60.5982556188896</v>
      </c>
      <c r="BI423" s="30" t="str">
        <f t="shared" si="369"/>
        <v>0,0663037866716884+0,037796527655895i</v>
      </c>
      <c r="BJ423" s="68">
        <f t="shared" si="417"/>
        <v>-22.3472124634734</v>
      </c>
      <c r="BK423" s="31">
        <f t="shared" si="370"/>
        <v>29.6853376611598</v>
      </c>
      <c r="BL423" s="32">
        <f t="shared" si="418"/>
        <v>-30.8705962904875</v>
      </c>
      <c r="BM423" s="31">
        <f t="shared" si="419"/>
        <v>-60.5982556188896</v>
      </c>
      <c r="BO423">
        <f t="shared" si="420"/>
        <v>0</v>
      </c>
      <c r="BP423">
        <f t="shared" si="421"/>
        <v>0</v>
      </c>
    </row>
    <row r="424" spans="14:68">
      <c r="N424" s="7">
        <v>6</v>
      </c>
      <c r="O424" s="18">
        <f t="shared" si="422"/>
        <v>114815.362149688</v>
      </c>
      <c r="P424" s="86" t="str">
        <f t="shared" si="372"/>
        <v>163,636363636364</v>
      </c>
      <c r="Q424" s="4" t="str">
        <f t="shared" si="373"/>
        <v>1+4407,13603678426i</v>
      </c>
      <c r="R424" s="4">
        <f t="shared" si="384"/>
        <v>4407.13615023662</v>
      </c>
      <c r="S424" s="4">
        <f t="shared" si="385"/>
        <v>1.57056942207163</v>
      </c>
      <c r="T424" s="4" t="str">
        <f t="shared" si="374"/>
        <v>1+11,3116491610796i</v>
      </c>
      <c r="U424" s="4">
        <f t="shared" si="386"/>
        <v>11.3557653526019</v>
      </c>
      <c r="V424" s="4">
        <f t="shared" si="387"/>
        <v>1.48262111741706</v>
      </c>
      <c r="W424" t="str">
        <f t="shared" si="375"/>
        <v>1-10,8210929474614i</v>
      </c>
      <c r="X424" s="4">
        <f t="shared" si="388"/>
        <v>10.8672007700971</v>
      </c>
      <c r="Y424" s="4">
        <f t="shared" si="389"/>
        <v>-1.47864594633707</v>
      </c>
      <c r="Z424" t="str">
        <f t="shared" si="376"/>
        <v>0,892387205015804+2,24151211054556i</v>
      </c>
      <c r="AA424" s="4">
        <f t="shared" si="390"/>
        <v>2.41261921268117</v>
      </c>
      <c r="AB424" s="4">
        <f t="shared" si="391"/>
        <v>1.19191307420583</v>
      </c>
      <c r="AC424" s="67" t="str">
        <f t="shared" si="392"/>
        <v>-1,76152978298655-0,709887130107418i</v>
      </c>
      <c r="AD424" s="68">
        <f t="shared" si="393"/>
        <v>5.57137342418938</v>
      </c>
      <c r="AE424" s="31">
        <f t="shared" si="394"/>
        <v>-158.050827489736</v>
      </c>
      <c r="AF424" s="32" t="str">
        <f t="shared" si="395"/>
        <v>748,315388573934</v>
      </c>
      <c r="AG424" s="32" t="str">
        <f t="shared" si="377"/>
        <v>1+3590,99973367606i</v>
      </c>
      <c r="AH424" s="32">
        <f t="shared" si="396"/>
        <v>3590.99987291305</v>
      </c>
      <c r="AI424" s="32">
        <f t="shared" si="397"/>
        <v>1.57051785281876</v>
      </c>
      <c r="AJ424" s="32" t="str">
        <f t="shared" si="378"/>
        <v>1+11,3116491610796i</v>
      </c>
      <c r="AK424" s="32">
        <f t="shared" si="398"/>
        <v>11.3557653526019</v>
      </c>
      <c r="AL424" s="32">
        <f t="shared" si="399"/>
        <v>1.48262111741706</v>
      </c>
      <c r="AM424" s="32" t="str">
        <f t="shared" si="379"/>
        <v>1-1,9280391599922i</v>
      </c>
      <c r="AN424" s="32">
        <f t="shared" si="400"/>
        <v>2.17194267936873</v>
      </c>
      <c r="AO424" s="32">
        <f t="shared" si="401"/>
        <v>-1.09233108748352</v>
      </c>
      <c r="AP424" s="30" t="str">
        <f t="shared" si="402"/>
        <v>1,95673987415987-4,75260279146696i</v>
      </c>
      <c r="AQ424" s="32">
        <f t="shared" si="403"/>
        <v>14.2186811187295</v>
      </c>
      <c r="AR424" s="31">
        <f t="shared" si="404"/>
        <v>-67.6220731152368</v>
      </c>
      <c r="AS424" t="str">
        <f t="shared" si="380"/>
        <v>-0,0000504684572142411</v>
      </c>
      <c r="AT424" t="str">
        <f t="shared" si="381"/>
        <v>0,162099972352971i</v>
      </c>
      <c r="AU424">
        <f t="shared" si="405"/>
        <v>0.162099972352971</v>
      </c>
      <c r="AV424">
        <f t="shared" si="406"/>
        <v>1.5707963267949</v>
      </c>
      <c r="AW424" t="str">
        <f t="shared" si="382"/>
        <v>1+8,29922126366639i</v>
      </c>
      <c r="AX424">
        <f t="shared" si="407"/>
        <v>8.35925077882536</v>
      </c>
      <c r="AY424">
        <f t="shared" si="408"/>
        <v>1.45088119808521</v>
      </c>
      <c r="AZ424" t="str">
        <f t="shared" si="383"/>
        <v>1+396,773408073582i</v>
      </c>
      <c r="BA424">
        <f t="shared" si="409"/>
        <v>396.774668236677</v>
      </c>
      <c r="BB424">
        <f t="shared" si="410"/>
        <v>1.56827600193868</v>
      </c>
      <c r="BC424" s="30" t="str">
        <f t="shared" si="411"/>
        <v>-0,00173087037869189+0,0146762178049873i</v>
      </c>
      <c r="BD424" s="32">
        <f t="shared" si="412"/>
        <v>-36.6077265813869</v>
      </c>
      <c r="BE424" s="31">
        <f t="shared" si="413"/>
        <v>96.7262267975702</v>
      </c>
      <c r="BF424" s="30" t="str">
        <f t="shared" si="414"/>
        <v>0,0134674378609688-0,0246238721593651i</v>
      </c>
      <c r="BG424" s="68">
        <f t="shared" si="415"/>
        <v>-31.0363531571975</v>
      </c>
      <c r="BH424" s="31">
        <f t="shared" si="416"/>
        <v>-61.3246006921662</v>
      </c>
      <c r="BI424" s="30" t="str">
        <f t="shared" si="369"/>
        <v>0,0663633706211711+0,0369436799743122i</v>
      </c>
      <c r="BJ424" s="68">
        <f t="shared" si="417"/>
        <v>-22.3890454626574</v>
      </c>
      <c r="BK424" s="31">
        <f t="shared" si="370"/>
        <v>29.1041536823333</v>
      </c>
      <c r="BL424" s="32">
        <f t="shared" si="418"/>
        <v>-31.0363531571975</v>
      </c>
      <c r="BM424" s="31">
        <f t="shared" si="419"/>
        <v>-61.3246006921662</v>
      </c>
      <c r="BO424">
        <f t="shared" si="420"/>
        <v>0</v>
      </c>
      <c r="BP424">
        <f t="shared" si="421"/>
        <v>0</v>
      </c>
    </row>
    <row r="425" spans="14:68">
      <c r="N425" s="7">
        <v>7</v>
      </c>
      <c r="O425" s="18">
        <f t="shared" si="422"/>
        <v>117489.755493953</v>
      </c>
      <c r="P425" s="86" t="str">
        <f t="shared" si="372"/>
        <v>163,636363636364</v>
      </c>
      <c r="Q425" s="4" t="str">
        <f t="shared" si="373"/>
        <v>1+4509,79142246933i</v>
      </c>
      <c r="R425" s="4">
        <f t="shared" si="384"/>
        <v>4509.7915333392</v>
      </c>
      <c r="S425" s="4">
        <f t="shared" si="385"/>
        <v>1.57057458705354</v>
      </c>
      <c r="T425" s="4" t="str">
        <f t="shared" si="374"/>
        <v>1+11,5751313176713i</v>
      </c>
      <c r="U425" s="4">
        <f t="shared" si="386"/>
        <v>11.6182470717977</v>
      </c>
      <c r="V425" s="4">
        <f t="shared" si="387"/>
        <v>1.48461819290084</v>
      </c>
      <c r="W425" t="str">
        <f t="shared" si="375"/>
        <v>1-11,0731485819559i</v>
      </c>
      <c r="X425" s="4">
        <f t="shared" si="388"/>
        <v>11.1182111653841</v>
      </c>
      <c r="Y425" s="4">
        <f t="shared" si="389"/>
        <v>-1.48073208953571</v>
      </c>
      <c r="Z425" t="str">
        <f t="shared" si="376"/>
        <v>0,887315570236498+2,29372363483373i</v>
      </c>
      <c r="AA425" s="4">
        <f t="shared" si="390"/>
        <v>2.45936923502328</v>
      </c>
      <c r="AB425" s="4">
        <f t="shared" si="391"/>
        <v>1.2016816322458</v>
      </c>
      <c r="AC425" s="67" t="str">
        <f t="shared" si="392"/>
        <v>-1,77459046171223-0,694885514448875i</v>
      </c>
      <c r="AD425" s="68">
        <f t="shared" si="393"/>
        <v>5.60150286201936</v>
      </c>
      <c r="AE425" s="31">
        <f t="shared" si="394"/>
        <v>-158.615923773173</v>
      </c>
      <c r="AF425" s="32" t="str">
        <f t="shared" si="395"/>
        <v>748,315388573934</v>
      </c>
      <c r="AG425" s="32" t="str">
        <f t="shared" si="377"/>
        <v>1+3674,64486275278i</v>
      </c>
      <c r="AH425" s="32">
        <f t="shared" si="396"/>
        <v>3674.64499882035</v>
      </c>
      <c r="AI425" s="32">
        <f t="shared" si="397"/>
        <v>1.57052419166003</v>
      </c>
      <c r="AJ425" s="32" t="str">
        <f t="shared" si="378"/>
        <v>1+11,5751313176713i</v>
      </c>
      <c r="AK425" s="32">
        <f t="shared" si="398"/>
        <v>11.6182470717977</v>
      </c>
      <c r="AL425" s="32">
        <f t="shared" si="399"/>
        <v>1.48461819290084</v>
      </c>
      <c r="AM425" s="32" t="str">
        <f t="shared" si="379"/>
        <v>1-1,97294896126289i</v>
      </c>
      <c r="AN425" s="32">
        <f t="shared" si="400"/>
        <v>2.21190587587906</v>
      </c>
      <c r="AO425" s="32">
        <f t="shared" si="401"/>
        <v>-1.10167938352379</v>
      </c>
      <c r="AP425" s="30" t="str">
        <f t="shared" si="402"/>
        <v>1,95673726920112-4,85373283328559i</v>
      </c>
      <c r="AQ425" s="32">
        <f t="shared" si="403"/>
        <v>14.3755307493538</v>
      </c>
      <c r="AR425" s="31">
        <f t="shared" si="404"/>
        <v>-68.0436302162448</v>
      </c>
      <c r="AS425" t="str">
        <f t="shared" si="380"/>
        <v>-0,0000504684572142411</v>
      </c>
      <c r="AT425" t="str">
        <f t="shared" si="381"/>
        <v>0,1658757657577i</v>
      </c>
      <c r="AU425">
        <f t="shared" si="405"/>
        <v>0.1658757657577</v>
      </c>
      <c r="AV425">
        <f t="shared" si="406"/>
        <v>1.5707963267949</v>
      </c>
      <c r="AW425" t="str">
        <f t="shared" si="382"/>
        <v>1+8,49253496049727i</v>
      </c>
      <c r="AX425">
        <f t="shared" si="407"/>
        <v>8.55120752030194</v>
      </c>
      <c r="AY425">
        <f t="shared" si="408"/>
        <v>1.45358558206863</v>
      </c>
      <c r="AZ425" t="str">
        <f t="shared" si="383"/>
        <v>1+406,01544800505i</v>
      </c>
      <c r="BA425">
        <f t="shared" si="409"/>
        <v>406.016679483419</v>
      </c>
      <c r="BB425">
        <f t="shared" si="410"/>
        <v>1.56833337130179</v>
      </c>
      <c r="BC425" s="30" t="str">
        <f t="shared" si="411"/>
        <v>-0,0016540337324579+0,0143511938532482i</v>
      </c>
      <c r="BD425" s="32">
        <f t="shared" si="412"/>
        <v>-36.8049296564147</v>
      </c>
      <c r="BE425" s="31">
        <f t="shared" si="413"/>
        <v>96.5745640315169</v>
      </c>
      <c r="BF425" s="30" t="str">
        <f t="shared" si="414"/>
        <v>0,01290766920864-0,0243181276450626i</v>
      </c>
      <c r="BG425" s="68">
        <f t="shared" si="415"/>
        <v>-31.2034267943953</v>
      </c>
      <c r="BH425" s="31">
        <f t="shared" si="416"/>
        <v>-62.0413597416556</v>
      </c>
      <c r="BI425" s="30" t="str">
        <f t="shared" si="369"/>
        <v>0,0664203513535409+0,0361097537047736i</v>
      </c>
      <c r="BJ425" s="68">
        <f t="shared" si="417"/>
        <v>-22.4293989070609</v>
      </c>
      <c r="BK425" s="31">
        <f t="shared" si="370"/>
        <v>28.5309338152721</v>
      </c>
      <c r="BL425" s="32">
        <f t="shared" si="418"/>
        <v>-31.2034267943953</v>
      </c>
      <c r="BM425" s="31">
        <f t="shared" si="419"/>
        <v>-62.0413597416556</v>
      </c>
      <c r="BO425">
        <f t="shared" si="420"/>
        <v>0</v>
      </c>
      <c r="BP425">
        <f t="shared" si="421"/>
        <v>0</v>
      </c>
    </row>
    <row r="426" spans="14:68">
      <c r="N426" s="7">
        <v>8</v>
      </c>
      <c r="O426" s="18">
        <f t="shared" si="422"/>
        <v>120226.443461741</v>
      </c>
      <c r="P426" s="86" t="str">
        <f t="shared" si="372"/>
        <v>163,636363636364</v>
      </c>
      <c r="Q426" s="4" t="str">
        <f t="shared" si="373"/>
        <v>1+4614,8379592607i</v>
      </c>
      <c r="R426" s="4">
        <f t="shared" si="384"/>
        <v>4614.83806760686</v>
      </c>
      <c r="S426" s="4">
        <f t="shared" si="385"/>
        <v>1.57057963446611</v>
      </c>
      <c r="T426" s="4" t="str">
        <f t="shared" si="374"/>
        <v>1+11,8447507621024i</v>
      </c>
      <c r="U426" s="4">
        <f t="shared" si="386"/>
        <v>11.8868886011574</v>
      </c>
      <c r="V426" s="4">
        <f t="shared" si="387"/>
        <v>1.48657047550616</v>
      </c>
      <c r="W426" t="str">
        <f t="shared" si="375"/>
        <v>1-11,331075346399i</v>
      </c>
      <c r="X426" s="4">
        <f t="shared" si="388"/>
        <v>11.3751161974624</v>
      </c>
      <c r="Y426" s="4">
        <f t="shared" si="389"/>
        <v>-1.48277150614206</v>
      </c>
      <c r="Z426" t="str">
        <f t="shared" si="376"/>
        <v>0,882004916673802+2,34715132175408i</v>
      </c>
      <c r="AA426" s="4">
        <f t="shared" si="390"/>
        <v>2.50739944967863</v>
      </c>
      <c r="AB426" s="4">
        <f t="shared" si="391"/>
        <v>1.21134483626248</v>
      </c>
      <c r="AC426" s="67" t="str">
        <f t="shared" si="392"/>
        <v>-1,78723671677394-0,679804823453213i</v>
      </c>
      <c r="AD426" s="68">
        <f t="shared" si="393"/>
        <v>5.63047723367782</v>
      </c>
      <c r="AE426" s="31">
        <f t="shared" si="394"/>
        <v>-159.174866185851</v>
      </c>
      <c r="AF426" s="32" t="str">
        <f t="shared" si="395"/>
        <v>748,315388573934</v>
      </c>
      <c r="AG426" s="32" t="str">
        <f t="shared" si="377"/>
        <v>1+3760,23833717538i</v>
      </c>
      <c r="AH426" s="32">
        <f t="shared" si="396"/>
        <v>3760.23847014567</v>
      </c>
      <c r="AI426" s="32">
        <f t="shared" si="397"/>
        <v>1.57053038621168</v>
      </c>
      <c r="AJ426" s="32" t="str">
        <f t="shared" si="378"/>
        <v>1+11,8447507621024i</v>
      </c>
      <c r="AK426" s="32">
        <f t="shared" si="398"/>
        <v>11.8868886011574</v>
      </c>
      <c r="AL426" s="32">
        <f t="shared" si="399"/>
        <v>1.48657047550616</v>
      </c>
      <c r="AM426" s="32" t="str">
        <f t="shared" si="379"/>
        <v>1-2,01890484618791i</v>
      </c>
      <c r="AN426" s="32">
        <f t="shared" si="400"/>
        <v>2.2529928490701</v>
      </c>
      <c r="AO426" s="32">
        <f t="shared" si="401"/>
        <v>-1.11090129254463</v>
      </c>
      <c r="AP426" s="30" t="str">
        <f t="shared" si="402"/>
        <v>1,95673478148479-4,95743638843531i</v>
      </c>
      <c r="AQ426" s="32">
        <f t="shared" si="403"/>
        <v>14.5339458797819</v>
      </c>
      <c r="AR426" s="31">
        <f t="shared" si="404"/>
        <v>-68.4605040501568</v>
      </c>
      <c r="AS426" t="str">
        <f t="shared" si="380"/>
        <v>-0,0000504684572142411</v>
      </c>
      <c r="AT426" t="str">
        <f t="shared" si="381"/>
        <v>0,169739508689057i</v>
      </c>
      <c r="AU426">
        <f t="shared" si="405"/>
        <v>0.169739508689057</v>
      </c>
      <c r="AV426">
        <f t="shared" si="406"/>
        <v>1.5707963267949</v>
      </c>
      <c r="AW426" t="str">
        <f t="shared" si="382"/>
        <v>1+8,69035151177614i</v>
      </c>
      <c r="AX426">
        <f t="shared" si="407"/>
        <v>8.74769737692325</v>
      </c>
      <c r="AY426">
        <f t="shared" si="408"/>
        <v>1.45623007211031</v>
      </c>
      <c r="AZ426" t="str">
        <f t="shared" si="383"/>
        <v>1+415,472762701297i</v>
      </c>
      <c r="BA426">
        <f t="shared" si="409"/>
        <v>415.473966147878</v>
      </c>
      <c r="BB426">
        <f t="shared" si="410"/>
        <v>1.56838943479443</v>
      </c>
      <c r="BC426" s="30" t="str">
        <f t="shared" si="411"/>
        <v>-0,00158056279041247+0,0140329751104285i</v>
      </c>
      <c r="BD426" s="32">
        <f t="shared" si="412"/>
        <v>-37.0022569297743</v>
      </c>
      <c r="BE426" s="31">
        <f t="shared" si="413"/>
        <v>96.426258114677</v>
      </c>
      <c r="BF426" s="30" t="str">
        <f t="shared" si="414"/>
        <v>0,01236452401966-0,0240057741542396i</v>
      </c>
      <c r="BG426" s="68">
        <f t="shared" si="415"/>
        <v>-31.3717796960964</v>
      </c>
      <c r="BH426" s="31">
        <f t="shared" si="416"/>
        <v>-62.7486080711744</v>
      </c>
      <c r="BI426" s="30" t="str">
        <f t="shared" si="369"/>
        <v>0,0664748392641245+0,0352943499776834i</v>
      </c>
      <c r="BJ426" s="68">
        <f t="shared" si="417"/>
        <v>-22.4683110499924</v>
      </c>
      <c r="BK426" s="31">
        <f t="shared" si="370"/>
        <v>27.9657540645203</v>
      </c>
      <c r="BL426" s="32">
        <f t="shared" si="418"/>
        <v>-31.3717796960964</v>
      </c>
      <c r="BM426" s="31">
        <f t="shared" si="419"/>
        <v>-62.7486080711744</v>
      </c>
      <c r="BO426">
        <f t="shared" si="420"/>
        <v>0</v>
      </c>
      <c r="BP426">
        <f t="shared" si="421"/>
        <v>0</v>
      </c>
    </row>
    <row r="427" spans="14:68">
      <c r="N427" s="7">
        <v>9</v>
      </c>
      <c r="O427" s="18">
        <f t="shared" si="422"/>
        <v>123026.877081238</v>
      </c>
      <c r="P427" s="86" t="str">
        <f t="shared" si="372"/>
        <v>163,636363636364</v>
      </c>
      <c r="Q427" s="4" t="str">
        <f t="shared" si="373"/>
        <v>1+4722,3313442227i</v>
      </c>
      <c r="R427" s="4">
        <f t="shared" si="384"/>
        <v>4722.3314501026</v>
      </c>
      <c r="S427" s="4">
        <f t="shared" si="385"/>
        <v>1.57058456698557</v>
      </c>
      <c r="T427" s="4" t="str">
        <f t="shared" si="374"/>
        <v>1+12,1206504501716i</v>
      </c>
      <c r="U427" s="4">
        <f t="shared" si="386"/>
        <v>12.1618324003928</v>
      </c>
      <c r="V427" s="4">
        <f t="shared" si="387"/>
        <v>1.48847894079847</v>
      </c>
      <c r="W427" t="str">
        <f t="shared" si="375"/>
        <v>1-11,5950099969754i</v>
      </c>
      <c r="X427" s="4">
        <f t="shared" si="388"/>
        <v>11.6380521063432</v>
      </c>
      <c r="Y427" s="4">
        <f t="shared" si="389"/>
        <v>-1.48476520958516</v>
      </c>
      <c r="Z427" t="str">
        <f t="shared" si="376"/>
        <v>0,876443979719493+2,40182349937347i</v>
      </c>
      <c r="AA427" s="4">
        <f t="shared" si="390"/>
        <v>2.55673818990705</v>
      </c>
      <c r="AB427" s="4">
        <f t="shared" si="391"/>
        <v>1.22090288950197</v>
      </c>
      <c r="AC427" s="67" t="str">
        <f t="shared" si="392"/>
        <v>-1,79947302616382-0,664657571022095i</v>
      </c>
      <c r="AD427" s="68">
        <f t="shared" si="393"/>
        <v>5.65832813847766</v>
      </c>
      <c r="AE427" s="31">
        <f t="shared" si="394"/>
        <v>-159.727668695676</v>
      </c>
      <c r="AF427" s="32" t="str">
        <f t="shared" si="395"/>
        <v>748,315388573934</v>
      </c>
      <c r="AG427" s="32" t="str">
        <f t="shared" si="377"/>
        <v>1+3847,82553973701i</v>
      </c>
      <c r="AH427" s="32">
        <f t="shared" si="396"/>
        <v>3847.82566968053</v>
      </c>
      <c r="AI427" s="32">
        <f t="shared" si="397"/>
        <v>1.57053643975814</v>
      </c>
      <c r="AJ427" s="32" t="str">
        <f t="shared" si="378"/>
        <v>1+12,1206504501716i</v>
      </c>
      <c r="AK427" s="32">
        <f t="shared" si="398"/>
        <v>12.1618324003928</v>
      </c>
      <c r="AL427" s="32">
        <f t="shared" si="399"/>
        <v>1.48847894079847</v>
      </c>
      <c r="AM427" s="32" t="str">
        <f t="shared" si="379"/>
        <v>1-2,06593118118574i</v>
      </c>
      <c r="AN427" s="32">
        <f t="shared" si="400"/>
        <v>2.2952280159922</v>
      </c>
      <c r="AO427" s="32">
        <f t="shared" si="401"/>
        <v>-1.11999542907367</v>
      </c>
      <c r="AP427" s="30" t="str">
        <f t="shared" si="402"/>
        <v>1,95673240573415-5,0637684419181i</v>
      </c>
      <c r="AQ427" s="32">
        <f t="shared" si="403"/>
        <v>14.6938827847852</v>
      </c>
      <c r="AR427" s="31">
        <f t="shared" si="404"/>
        <v>-68.8725595276531</v>
      </c>
      <c r="AS427" t="str">
        <f t="shared" si="380"/>
        <v>-0,0000504684572142411</v>
      </c>
      <c r="AT427" t="str">
        <f t="shared" si="381"/>
        <v>0,173693249754691i</v>
      </c>
      <c r="AU427">
        <f t="shared" si="405"/>
        <v>0.173693249754691</v>
      </c>
      <c r="AV427">
        <f t="shared" si="406"/>
        <v>1.5707963267949</v>
      </c>
      <c r="AW427" t="str">
        <f t="shared" si="382"/>
        <v>1+8,892775802457i</v>
      </c>
      <c r="AX427">
        <f t="shared" si="407"/>
        <v>8.94882458609871</v>
      </c>
      <c r="AY427">
        <f t="shared" si="408"/>
        <v>1.45881592232379</v>
      </c>
      <c r="AZ427" t="str">
        <f t="shared" si="383"/>
        <v>1+425,150366555763i</v>
      </c>
      <c r="BA427">
        <f t="shared" si="409"/>
        <v>425.151542608632</v>
      </c>
      <c r="BB427">
        <f t="shared" si="410"/>
        <v>1.5684442221408</v>
      </c>
      <c r="BC427" s="30" t="str">
        <f t="shared" si="411"/>
        <v>-0,0015103140550966+0,0137214451270919i</v>
      </c>
      <c r="BD427" s="32">
        <f t="shared" si="412"/>
        <v>-37.1997029579026</v>
      </c>
      <c r="BE427" s="31">
        <f t="shared" si="413"/>
        <v>96.2812388947097</v>
      </c>
      <c r="BF427" s="30" t="str">
        <f t="shared" si="414"/>
        <v>0,0118378317922683-0,0236875287148478i</v>
      </c>
      <c r="BG427" s="68">
        <f t="shared" si="415"/>
        <v>-31.541374819425</v>
      </c>
      <c r="BH427" s="31">
        <f t="shared" si="416"/>
        <v>-63.4464298009665</v>
      </c>
      <c r="BI427" s="30" t="str">
        <f t="shared" si="369"/>
        <v>0,0665269403576356+0,0344970769832672i</v>
      </c>
      <c r="BJ427" s="68">
        <f t="shared" si="417"/>
        <v>-22.5058201731174</v>
      </c>
      <c r="BK427" s="31">
        <f t="shared" si="370"/>
        <v>27.4086793670565</v>
      </c>
      <c r="BL427" s="32">
        <f t="shared" si="418"/>
        <v>-31.541374819425</v>
      </c>
      <c r="BM427" s="31">
        <f t="shared" si="419"/>
        <v>-63.4464298009665</v>
      </c>
      <c r="BO427">
        <f t="shared" si="420"/>
        <v>0</v>
      </c>
      <c r="BP427">
        <f t="shared" si="421"/>
        <v>0</v>
      </c>
    </row>
    <row r="428" spans="14:68">
      <c r="N428" s="7">
        <v>10</v>
      </c>
      <c r="O428" s="18">
        <f t="shared" si="422"/>
        <v>125892.541179417</v>
      </c>
      <c r="P428" s="86" t="str">
        <f t="shared" si="372"/>
        <v>163,636363636364</v>
      </c>
      <c r="Q428" s="4" t="str">
        <f t="shared" si="373"/>
        <v>1+4832,32857177085i</v>
      </c>
      <c r="R428" s="4">
        <f t="shared" si="384"/>
        <v>4832.32867524063</v>
      </c>
      <c r="S428" s="4">
        <f t="shared" si="385"/>
        <v>1.57058938722718</v>
      </c>
      <c r="T428" s="4" t="str">
        <f t="shared" si="374"/>
        <v>1+12,4029766675452i</v>
      </c>
      <c r="U428" s="4">
        <f t="shared" si="386"/>
        <v>12.4432242692829</v>
      </c>
      <c r="V428" s="4">
        <f t="shared" si="387"/>
        <v>1.4903445450317</v>
      </c>
      <c r="W428" t="str">
        <f t="shared" si="375"/>
        <v>1-11,8650924753302i</v>
      </c>
      <c r="X428" s="4">
        <f t="shared" si="388"/>
        <v>11.9071583280033</v>
      </c>
      <c r="Y428" s="4">
        <f t="shared" si="389"/>
        <v>-1.48671419352037</v>
      </c>
      <c r="Z428" t="str">
        <f t="shared" si="376"/>
        <v>0,870620963880724+2,45776915560412i</v>
      </c>
      <c r="AA428" s="4">
        <f t="shared" si="390"/>
        <v>2.60741444442336</v>
      </c>
      <c r="AB428" s="4">
        <f t="shared" si="391"/>
        <v>1.23035616401638</v>
      </c>
      <c r="AC428" s="67" t="str">
        <f t="shared" si="392"/>
        <v>-1,81130435776877-0,649455659679641i</v>
      </c>
      <c r="AD428" s="68">
        <f t="shared" si="393"/>
        <v>5.68508688796078</v>
      </c>
      <c r="AE428" s="31">
        <f t="shared" si="394"/>
        <v>-160.274354912452</v>
      </c>
      <c r="AF428" s="32" t="str">
        <f t="shared" si="395"/>
        <v>748,315388573934</v>
      </c>
      <c r="AG428" s="32" t="str">
        <f t="shared" si="377"/>
        <v>1+3937,45291033181i</v>
      </c>
      <c r="AH428" s="32">
        <f t="shared" si="396"/>
        <v>3937.45303731745</v>
      </c>
      <c r="AI428" s="32">
        <f t="shared" si="397"/>
        <v>1.57054235550907</v>
      </c>
      <c r="AJ428" s="32" t="str">
        <f t="shared" si="378"/>
        <v>1+12,4029766675452i</v>
      </c>
      <c r="AK428" s="32">
        <f t="shared" si="398"/>
        <v>12.4432242692829</v>
      </c>
      <c r="AL428" s="32">
        <f t="shared" si="399"/>
        <v>1.4903445450317</v>
      </c>
      <c r="AM428" s="32" t="str">
        <f t="shared" si="379"/>
        <v>1-2,11405290024168i</v>
      </c>
      <c r="AN428" s="32">
        <f t="shared" si="400"/>
        <v>2.33863628318306</v>
      </c>
      <c r="AO428" s="32">
        <f t="shared" si="401"/>
        <v>-1.12896059705278</v>
      </c>
      <c r="AP428" s="30" t="str">
        <f t="shared" si="402"/>
        <v>1,95673013690987-5,17278537240008i</v>
      </c>
      <c r="AQ428" s="32">
        <f t="shared" si="403"/>
        <v>14.8552980269015</v>
      </c>
      <c r="AR428" s="31">
        <f t="shared" si="404"/>
        <v>-69.2796735142376</v>
      </c>
      <c r="AS428" t="str">
        <f t="shared" si="380"/>
        <v>-0,0000504684572142411</v>
      </c>
      <c r="AT428" t="str">
        <f t="shared" si="381"/>
        <v>0,177739085280447i</v>
      </c>
      <c r="AU428">
        <f t="shared" si="405"/>
        <v>0.177739085280447</v>
      </c>
      <c r="AV428">
        <f t="shared" si="406"/>
        <v>1.5707963267949</v>
      </c>
      <c r="AW428" t="str">
        <f t="shared" si="382"/>
        <v>1+9,09991516057814i</v>
      </c>
      <c r="AX428">
        <f t="shared" si="407"/>
        <v>9.15469584037175</v>
      </c>
      <c r="AY428">
        <f t="shared" si="408"/>
        <v>1.4613443653614</v>
      </c>
      <c r="AZ428" t="str">
        <f t="shared" si="383"/>
        <v>1+435,053390762107i</v>
      </c>
      <c r="BA428">
        <f t="shared" si="409"/>
        <v>435.054540044816</v>
      </c>
      <c r="BB428">
        <f t="shared" si="410"/>
        <v>1.56849776238855</v>
      </c>
      <c r="BC428" s="30" t="str">
        <f t="shared" si="411"/>
        <v>-0,00144314980479319+0,0134164876591543i</v>
      </c>
      <c r="BD428" s="32">
        <f t="shared" si="412"/>
        <v>-37.3972625296072</v>
      </c>
      <c r="BE428" s="31">
        <f t="shared" si="413"/>
        <v>96.1394374101451</v>
      </c>
      <c r="BF428" s="30" t="str">
        <f t="shared" si="414"/>
        <v>0,0113273973735949-0,0233640807544886i</v>
      </c>
      <c r="BG428" s="68">
        <f t="shared" si="415"/>
        <v>-31.7121756416464</v>
      </c>
      <c r="BH428" s="31">
        <f t="shared" si="416"/>
        <v>-64.1349175023063</v>
      </c>
      <c r="BI428" s="30" t="str">
        <f t="shared" si="369"/>
        <v>0,0665767563971451+0,0337175499345628i</v>
      </c>
      <c r="BJ428" s="68">
        <f t="shared" si="417"/>
        <v>-22.5419645027057</v>
      </c>
      <c r="BK428" s="31">
        <f t="shared" si="370"/>
        <v>26.8597638959076</v>
      </c>
      <c r="BL428" s="32">
        <f t="shared" si="418"/>
        <v>-31.7121756416464</v>
      </c>
      <c r="BM428" s="31">
        <f t="shared" si="419"/>
        <v>-64.1349175023063</v>
      </c>
      <c r="BO428">
        <f t="shared" si="420"/>
        <v>0</v>
      </c>
      <c r="BP428">
        <f t="shared" si="421"/>
        <v>0</v>
      </c>
    </row>
    <row r="429" spans="14:68">
      <c r="N429" s="7">
        <v>11</v>
      </c>
      <c r="O429" s="18">
        <f t="shared" si="422"/>
        <v>128824.955169314</v>
      </c>
      <c r="P429" s="86" t="str">
        <f t="shared" si="372"/>
        <v>163,636363636364</v>
      </c>
      <c r="Q429" s="4" t="str">
        <f t="shared" si="373"/>
        <v>1+4944,88796389119i</v>
      </c>
      <c r="R429" s="4">
        <f t="shared" si="384"/>
        <v>4944.88806500572</v>
      </c>
      <c r="S429" s="4">
        <f t="shared" si="385"/>
        <v>1.5705940977467</v>
      </c>
      <c r="T429" s="4" t="str">
        <f t="shared" si="374"/>
        <v>1+12,6918791073207i</v>
      </c>
      <c r="U429" s="4">
        <f t="shared" si="386"/>
        <v>12.7312134250763</v>
      </c>
      <c r="V429" s="4">
        <f t="shared" si="387"/>
        <v>1.4921682253994</v>
      </c>
      <c r="W429" t="str">
        <f t="shared" si="375"/>
        <v>1-12,1414659827686i</v>
      </c>
      <c r="X429" s="4">
        <f t="shared" si="388"/>
        <v>12.1825775684264</v>
      </c>
      <c r="Y429" s="4">
        <f t="shared" si="389"/>
        <v>-1.48861943206556</v>
      </c>
      <c r="Z429" t="str">
        <f t="shared" si="376"/>
        <v>0,864523517760197+2,51501795357348i</v>
      </c>
      <c r="AA429" s="4">
        <f t="shared" si="390"/>
        <v>2.65945788076394</v>
      </c>
      <c r="AB429" s="4">
        <f t="shared" si="391"/>
        <v>1.23970519418827</v>
      </c>
      <c r="AC429" s="67" t="str">
        <f t="shared" si="392"/>
        <v>-1,82273611947534-0,634210370859223i</v>
      </c>
      <c r="AD429" s="68">
        <f t="shared" si="393"/>
        <v>5.71078444432576</v>
      </c>
      <c r="AE429" s="31">
        <f t="shared" si="394"/>
        <v>-160.814957716084</v>
      </c>
      <c r="AF429" s="32" t="str">
        <f t="shared" si="395"/>
        <v>748,315388573934</v>
      </c>
      <c r="AG429" s="32" t="str">
        <f t="shared" si="377"/>
        <v>1+4029,16797057801i</v>
      </c>
      <c r="AH429" s="32">
        <f t="shared" si="396"/>
        <v>4029.16809467311</v>
      </c>
      <c r="AI429" s="32">
        <f t="shared" si="397"/>
        <v>1.5705481366011</v>
      </c>
      <c r="AJ429" s="32" t="str">
        <f t="shared" si="378"/>
        <v>1+12,6918791073207i</v>
      </c>
      <c r="AK429" s="32">
        <f t="shared" si="398"/>
        <v>12.7312134250763</v>
      </c>
      <c r="AL429" s="32">
        <f t="shared" si="399"/>
        <v>1.4921682253994</v>
      </c>
      <c r="AM429" s="32" t="str">
        <f t="shared" si="379"/>
        <v>1-2,16329551812812i</v>
      </c>
      <c r="AN429" s="32">
        <f t="shared" si="400"/>
        <v>2.38324306329699</v>
      </c>
      <c r="AO429" s="32">
        <f t="shared" si="401"/>
        <v>-1.13779578439037</v>
      </c>
      <c r="AP429" s="30" t="str">
        <f t="shared" si="402"/>
        <v>1,95672797019949-5,28454498210453i</v>
      </c>
      <c r="AQ429" s="32">
        <f t="shared" si="403"/>
        <v>15.0181485258488</v>
      </c>
      <c r="AR429" s="31">
        <f t="shared" si="404"/>
        <v>-69.6817345038131</v>
      </c>
      <c r="AS429" t="str">
        <f t="shared" si="380"/>
        <v>-0,0000504684572142411</v>
      </c>
      <c r="AT429" t="str">
        <f t="shared" si="381"/>
        <v>0,181879160421873i</v>
      </c>
      <c r="AU429">
        <f t="shared" si="405"/>
        <v>0.181879160421873</v>
      </c>
      <c r="AV429">
        <f t="shared" si="406"/>
        <v>1.5707963267949</v>
      </c>
      <c r="AW429" t="str">
        <f t="shared" si="382"/>
        <v>1+9,31187941416902i</v>
      </c>
      <c r="AX429">
        <f t="shared" si="407"/>
        <v>9.36542034422507</v>
      </c>
      <c r="AY429">
        <f t="shared" si="408"/>
        <v>1.4638166124518</v>
      </c>
      <c r="AZ429" t="str">
        <f t="shared" si="383"/>
        <v>1+445,187086034846i</v>
      </c>
      <c r="BA429">
        <f t="shared" si="409"/>
        <v>445.188209156754</v>
      </c>
      <c r="BB429">
        <f t="shared" si="410"/>
        <v>1.5685500839242</v>
      </c>
      <c r="BC429" s="30" t="str">
        <f t="shared" si="411"/>
        <v>-0,00137893789114438+0,0131179868135995i</v>
      </c>
      <c r="BD429" s="32">
        <f t="shared" si="412"/>
        <v>-37.5949306566886</v>
      </c>
      <c r="BE429" s="31">
        <f t="shared" si="413"/>
        <v>96.0007858891225</v>
      </c>
      <c r="BF429" s="30" t="str">
        <f t="shared" si="414"/>
        <v>0,0108330031826814-0,0230360916686145i</v>
      </c>
      <c r="BG429" s="68">
        <f t="shared" si="415"/>
        <v>-31.8841462123628</v>
      </c>
      <c r="BH429" s="31">
        <f t="shared" si="416"/>
        <v>-64.8141718269617</v>
      </c>
      <c r="BI429" s="30" t="str">
        <f t="shared" si="369"/>
        <v>0,0666243850503505+0,0329553910241591i</v>
      </c>
      <c r="BJ429" s="68">
        <f t="shared" si="417"/>
        <v>-22.5767821308398</v>
      </c>
      <c r="BK429" s="31">
        <f t="shared" si="370"/>
        <v>26.3190513853094</v>
      </c>
      <c r="BL429" s="32">
        <f t="shared" si="418"/>
        <v>-31.8841462123628</v>
      </c>
      <c r="BM429" s="31">
        <f t="shared" si="419"/>
        <v>-64.8141718269617</v>
      </c>
      <c r="BO429">
        <f t="shared" si="420"/>
        <v>0</v>
      </c>
      <c r="BP429">
        <f t="shared" si="421"/>
        <v>0</v>
      </c>
    </row>
    <row r="430" spans="14:68">
      <c r="N430" s="7">
        <v>12</v>
      </c>
      <c r="O430" s="18">
        <f t="shared" si="422"/>
        <v>131825.673855641</v>
      </c>
      <c r="P430" s="86" t="str">
        <f t="shared" si="372"/>
        <v>163,636363636364</v>
      </c>
      <c r="Q430" s="4" t="str">
        <f t="shared" si="373"/>
        <v>1+5060,06920106329i</v>
      </c>
      <c r="R430" s="4">
        <f t="shared" si="384"/>
        <v>5060.06929987617</v>
      </c>
      <c r="S430" s="4">
        <f t="shared" si="385"/>
        <v>1.57059870104172</v>
      </c>
      <c r="T430" s="4" t="str">
        <f t="shared" si="374"/>
        <v>1+12,9875109493958i</v>
      </c>
      <c r="U430" s="4">
        <f t="shared" si="386"/>
        <v>13.0259525816992</v>
      </c>
      <c r="V430" s="4">
        <f t="shared" si="387"/>
        <v>1.49395090029224</v>
      </c>
      <c r="W430" t="str">
        <f t="shared" si="375"/>
        <v>1-12,4242770561822i</v>
      </c>
      <c r="X430" s="4">
        <f t="shared" si="388"/>
        <v>12.4644558793706</v>
      </c>
      <c r="Y430" s="4">
        <f t="shared" si="389"/>
        <v>-1.49048188004551</v>
      </c>
      <c r="Z430" t="str">
        <f t="shared" si="376"/>
        <v>0,858138707857192+2,57360024735202i</v>
      </c>
      <c r="AA430" s="4">
        <f t="shared" si="390"/>
        <v>2.7128988693081</v>
      </c>
      <c r="AB430" s="4">
        <f t="shared" si="391"/>
        <v>1.24895067017474</v>
      </c>
      <c r="AC430" s="67" t="str">
        <f t="shared" si="392"/>
        <v>-1,83377411049181-0,618932358765744i</v>
      </c>
      <c r="AD430" s="68">
        <f t="shared" si="393"/>
        <v>5.73545136389893</v>
      </c>
      <c r="AE430" s="31">
        <f t="shared" si="394"/>
        <v>-161.349518880285</v>
      </c>
      <c r="AF430" s="32" t="str">
        <f t="shared" si="395"/>
        <v>748,315388573934</v>
      </c>
      <c r="AG430" s="32" t="str">
        <f t="shared" si="377"/>
        <v>1+4123,01934901453i</v>
      </c>
      <c r="AH430" s="32">
        <f t="shared" si="396"/>
        <v>4123.01947028488</v>
      </c>
      <c r="AI430" s="32">
        <f t="shared" si="397"/>
        <v>1.57055378609942</v>
      </c>
      <c r="AJ430" s="32" t="str">
        <f t="shared" si="378"/>
        <v>1+12,9875109493958i</v>
      </c>
      <c r="AK430" s="32">
        <f t="shared" si="398"/>
        <v>13.0259525816992</v>
      </c>
      <c r="AL430" s="32">
        <f t="shared" si="399"/>
        <v>1.49395090029224</v>
      </c>
      <c r="AM430" s="32" t="str">
        <f t="shared" si="379"/>
        <v>1-2,21368514393286i</v>
      </c>
      <c r="AN430" s="32">
        <f t="shared" si="400"/>
        <v>2.42907429208517</v>
      </c>
      <c r="AO430" s="32">
        <f t="shared" si="401"/>
        <v>-1.14650015716884</v>
      </c>
      <c r="AP430" s="30" t="str">
        <f t="shared" si="402"/>
        <v>1,95672590100714-5,39910652745929i</v>
      </c>
      <c r="AQ430" s="32">
        <f t="shared" si="403"/>
        <v>15.1823916232301</v>
      </c>
      <c r="AR430" s="31">
        <f t="shared" si="404"/>
        <v>-70.0786422721338</v>
      </c>
      <c r="AS430" t="str">
        <f t="shared" si="380"/>
        <v>-0,0000504684572142411</v>
      </c>
      <c r="AT430" t="str">
        <f t="shared" si="381"/>
        <v>0,186115670301609i</v>
      </c>
      <c r="AU430">
        <f t="shared" si="405"/>
        <v>0.186115670301609</v>
      </c>
      <c r="AV430">
        <f t="shared" si="406"/>
        <v>1.5707963267949</v>
      </c>
      <c r="AW430" t="str">
        <f t="shared" si="382"/>
        <v>1+9,52878094948255i</v>
      </c>
      <c r="AX430">
        <f t="shared" si="407"/>
        <v>9.58110987220278</v>
      </c>
      <c r="AY430">
        <f t="shared" si="408"/>
        <v>1.46623385346425</v>
      </c>
      <c r="AZ430" t="str">
        <f t="shared" si="383"/>
        <v>1+455,556825393346i</v>
      </c>
      <c r="BA430">
        <f t="shared" si="409"/>
        <v>455.55792294994</v>
      </c>
      <c r="BB430">
        <f t="shared" si="410"/>
        <v>1.56860121448819</v>
      </c>
      <c r="BC430" s="30" t="str">
        <f t="shared" si="411"/>
        <v>-0,00131755154112611+0,0128258271821803i</v>
      </c>
      <c r="BD430" s="32">
        <f t="shared" si="412"/>
        <v>-37.7927025648938</v>
      </c>
      <c r="BE430" s="31">
        <f t="shared" si="413"/>
        <v>95.8652177465635</v>
      </c>
      <c r="BF430" s="30" t="str">
        <f t="shared" si="414"/>
        <v>0,0103544113763443-0,0227041945491797i</v>
      </c>
      <c r="BG430" s="68">
        <f t="shared" si="415"/>
        <v>-32.0572512009949</v>
      </c>
      <c r="BH430" s="31">
        <f t="shared" si="416"/>
        <v>-65.4843011337215</v>
      </c>
      <c r="BI430" s="30" t="str">
        <f t="shared" si="369"/>
        <v>0,0666699200329411+0,0322102293751716i</v>
      </c>
      <c r="BJ430" s="68">
        <f t="shared" si="417"/>
        <v>-22.6103109416637</v>
      </c>
      <c r="BK430" s="31">
        <f t="shared" si="370"/>
        <v>25.7865754744297</v>
      </c>
      <c r="BL430" s="32">
        <f t="shared" si="418"/>
        <v>-32.0572512009949</v>
      </c>
      <c r="BM430" s="31">
        <f t="shared" si="419"/>
        <v>-65.4843011337215</v>
      </c>
      <c r="BO430">
        <f t="shared" si="420"/>
        <v>0</v>
      </c>
      <c r="BP430">
        <f t="shared" si="421"/>
        <v>0</v>
      </c>
    </row>
    <row r="431" spans="14:68">
      <c r="N431" s="7">
        <v>13</v>
      </c>
      <c r="O431" s="18">
        <f t="shared" si="422"/>
        <v>134896.288259165</v>
      </c>
      <c r="P431" s="86" t="str">
        <f t="shared" si="372"/>
        <v>163,636363636364</v>
      </c>
      <c r="Q431" s="4" t="str">
        <f t="shared" si="373"/>
        <v>1+5177,93335390372i</v>
      </c>
      <c r="R431" s="4">
        <f t="shared" si="384"/>
        <v>5177.93345046734</v>
      </c>
      <c r="S431" s="4">
        <f t="shared" si="385"/>
        <v>1.57060319955296</v>
      </c>
      <c r="T431" s="4" t="str">
        <f t="shared" si="374"/>
        <v>1+13,2900289416862i</v>
      </c>
      <c r="U431" s="4">
        <f t="shared" si="386"/>
        <v>13.3275980308102</v>
      </c>
      <c r="V431" s="4">
        <f t="shared" si="387"/>
        <v>1.49569346956101</v>
      </c>
      <c r="W431" t="str">
        <f t="shared" si="375"/>
        <v>1-12,7136756457457i</v>
      </c>
      <c r="X431" s="4">
        <f t="shared" si="388"/>
        <v>12.7529427359032</v>
      </c>
      <c r="Y431" s="4">
        <f t="shared" si="389"/>
        <v>-1.49230247324363</v>
      </c>
      <c r="Z431" t="str">
        <f t="shared" si="376"/>
        <v>0,851452991133879+2,63354709804733i</v>
      </c>
      <c r="AA431" s="4">
        <f t="shared" si="390"/>
        <v>2.76776850797612</v>
      </c>
      <c r="AB431" s="4">
        <f t="shared" si="391"/>
        <v>1.2580934313093</v>
      </c>
      <c r="AC431" s="67" t="str">
        <f t="shared" si="392"/>
        <v>-1,84442447409607-0,603631647558281i</v>
      </c>
      <c r="AD431" s="68">
        <f t="shared" si="393"/>
        <v>5.75911774549638</v>
      </c>
      <c r="AE431" s="31">
        <f t="shared" si="394"/>
        <v>-161.878088693952</v>
      </c>
      <c r="AF431" s="32" t="str">
        <f t="shared" si="395"/>
        <v>748,315388573934</v>
      </c>
      <c r="AG431" s="32" t="str">
        <f t="shared" si="377"/>
        <v>1+4219,05680688451i</v>
      </c>
      <c r="AH431" s="32">
        <f t="shared" si="396"/>
        <v>4219.05692539441</v>
      </c>
      <c r="AI431" s="32">
        <f t="shared" si="397"/>
        <v>1.57055930699947</v>
      </c>
      <c r="AJ431" s="32" t="str">
        <f t="shared" si="378"/>
        <v>1+13,2900289416862i</v>
      </c>
      <c r="AK431" s="32">
        <f t="shared" si="398"/>
        <v>13.3275980308102</v>
      </c>
      <c r="AL431" s="32">
        <f t="shared" si="399"/>
        <v>1.49569346956101</v>
      </c>
      <c r="AM431" s="32" t="str">
        <f t="shared" si="379"/>
        <v>1-2,2652484949025i</v>
      </c>
      <c r="AN431" s="32">
        <f t="shared" si="400"/>
        <v>2.47615644571542</v>
      </c>
      <c r="AO431" s="32">
        <f t="shared" si="401"/>
        <v>-1.15507305355907</v>
      </c>
      <c r="AP431" s="30" t="str">
        <f t="shared" si="402"/>
        <v>1,95672392494377-5,51653075051532i</v>
      </c>
      <c r="AQ431" s="32">
        <f t="shared" si="403"/>
        <v>15.3479851424924</v>
      </c>
      <c r="AR431" s="31">
        <f t="shared" si="404"/>
        <v>-70.4703075131595</v>
      </c>
      <c r="AS431" t="str">
        <f t="shared" si="380"/>
        <v>-0,0000504684572142411</v>
      </c>
      <c r="AT431" t="str">
        <f t="shared" si="381"/>
        <v>0,190450861173271i</v>
      </c>
      <c r="AU431">
        <f t="shared" si="405"/>
        <v>0.190450861173271</v>
      </c>
      <c r="AV431">
        <f t="shared" si="406"/>
        <v>1.5707963267949</v>
      </c>
      <c r="AW431" t="str">
        <f t="shared" si="382"/>
        <v>1+9,7507347705838i</v>
      </c>
      <c r="AX431">
        <f t="shared" si="407"/>
        <v>9.80187882838142</v>
      </c>
      <c r="AY431">
        <f t="shared" si="408"/>
        <v>1.46859725699777</v>
      </c>
      <c r="AZ431" t="str">
        <f t="shared" si="383"/>
        <v>1+466,168107010676i</v>
      </c>
      <c r="BA431">
        <f t="shared" si="409"/>
        <v>466.16917958389</v>
      </c>
      <c r="BB431">
        <f t="shared" si="410"/>
        <v>1.56865118118953</v>
      </c>
      <c r="BC431" s="30" t="str">
        <f t="shared" si="411"/>
        <v>-0,00125886916356285+0,0125398939638226i</v>
      </c>
      <c r="BD431" s="32">
        <f t="shared" si="412"/>
        <v>-37.990573685192</v>
      </c>
      <c r="BE431" s="31">
        <f t="shared" si="413"/>
        <v>95.7326675799099</v>
      </c>
      <c r="BF431" s="30" t="str">
        <f t="shared" si="414"/>
        <v>0,00989136594854855-0,0223689940621822i</v>
      </c>
      <c r="BG431" s="68">
        <f t="shared" si="415"/>
        <v>-32.2314559396956</v>
      </c>
      <c r="BH431" s="31">
        <f t="shared" si="416"/>
        <v>-66.1454211140424</v>
      </c>
      <c r="BI431" s="30" t="str">
        <f t="shared" si="369"/>
        <v>0,0667134512489114+0,0314817009869396i</v>
      </c>
      <c r="BJ431" s="68">
        <f t="shared" si="417"/>
        <v>-22.6425885426996</v>
      </c>
      <c r="BK431" s="31">
        <f t="shared" si="370"/>
        <v>25.2623600667504</v>
      </c>
      <c r="BL431" s="32">
        <f t="shared" si="418"/>
        <v>-32.2314559396956</v>
      </c>
      <c r="BM431" s="31">
        <f t="shared" si="419"/>
        <v>-66.1454211140424</v>
      </c>
      <c r="BO431">
        <f t="shared" si="420"/>
        <v>0</v>
      </c>
      <c r="BP431">
        <f t="shared" si="421"/>
        <v>0</v>
      </c>
    </row>
    <row r="432" spans="14:68">
      <c r="N432" s="7">
        <v>14</v>
      </c>
      <c r="O432" s="18">
        <f t="shared" si="422"/>
        <v>138038.426460289</v>
      </c>
      <c r="P432" s="86" t="str">
        <f t="shared" si="372"/>
        <v>163,636363636364</v>
      </c>
      <c r="Q432" s="4" t="str">
        <f t="shared" si="373"/>
        <v>1+5298,54291554649i</v>
      </c>
      <c r="R432" s="4">
        <f t="shared" si="384"/>
        <v>5298.54300991205</v>
      </c>
      <c r="S432" s="4">
        <f t="shared" si="385"/>
        <v>1.57060759566559</v>
      </c>
      <c r="T432" s="4" t="str">
        <f t="shared" si="374"/>
        <v>1+13,599593483236i</v>
      </c>
      <c r="U432" s="4">
        <f t="shared" si="386"/>
        <v>13.6363097247487</v>
      </c>
      <c r="V432" s="4">
        <f t="shared" si="387"/>
        <v>1.49739681478417</v>
      </c>
      <c r="W432" t="str">
        <f t="shared" si="375"/>
        <v>1-13,0098151944222i</v>
      </c>
      <c r="X432" s="4">
        <f t="shared" si="388"/>
        <v>13.0481911157455</v>
      </c>
      <c r="Y432" s="4">
        <f t="shared" si="389"/>
        <v>-1.49408212865988</v>
      </c>
      <c r="Z432" t="str">
        <f t="shared" si="376"/>
        <v>0,844452186288712+2,69489029027316i</v>
      </c>
      <c r="AA432" s="4">
        <f t="shared" si="390"/>
        <v>2.82409864762836</v>
      </c>
      <c r="AB432" s="4">
        <f t="shared" si="391"/>
        <v>1.26713445949683</v>
      </c>
      <c r="AC432" s="67" t="str">
        <f t="shared" si="392"/>
        <v>-1,85469365198491-0,588317631593805i</v>
      </c>
      <c r="AD432" s="68">
        <f t="shared" si="393"/>
        <v>5.78181318350514</v>
      </c>
      <c r="AE432" s="31">
        <f t="shared" si="394"/>
        <v>-162.400725582255</v>
      </c>
      <c r="AF432" s="32" t="str">
        <f t="shared" si="395"/>
        <v>748,315388573934</v>
      </c>
      <c r="AG432" s="32" t="str">
        <f t="shared" si="377"/>
        <v>1+4317,33126451936i</v>
      </c>
      <c r="AH432" s="32">
        <f t="shared" si="396"/>
        <v>4317.33138033164</v>
      </c>
      <c r="AI432" s="32">
        <f t="shared" si="397"/>
        <v>1.5705647022285</v>
      </c>
      <c r="AJ432" s="32" t="str">
        <f t="shared" si="378"/>
        <v>1+13,599593483236i</v>
      </c>
      <c r="AK432" s="32">
        <f t="shared" si="398"/>
        <v>13.6363097247487</v>
      </c>
      <c r="AL432" s="32">
        <f t="shared" si="399"/>
        <v>1.49739681478417</v>
      </c>
      <c r="AM432" s="32" t="str">
        <f t="shared" si="379"/>
        <v>1-2,31801291060827i</v>
      </c>
      <c r="AN432" s="32">
        <f t="shared" si="400"/>
        <v>2.52451655842195</v>
      </c>
      <c r="AO432" s="32">
        <f t="shared" si="401"/>
        <v>-1.16351397749219</v>
      </c>
      <c r="AP432" s="30" t="str">
        <f t="shared" si="402"/>
        <v>1,95672203781789-5,63687991115308i</v>
      </c>
      <c r="AQ432" s="32">
        <f t="shared" si="403"/>
        <v>15.5148874441338</v>
      </c>
      <c r="AR432" s="31">
        <f t="shared" si="404"/>
        <v>-70.8566514612304</v>
      </c>
      <c r="AS432" t="str">
        <f t="shared" si="380"/>
        <v>-0,0000504684572142411</v>
      </c>
      <c r="AT432" t="str">
        <f t="shared" si="381"/>
        <v>0,194887031612444i</v>
      </c>
      <c r="AU432">
        <f t="shared" si="405"/>
        <v>0.194887031612444</v>
      </c>
      <c r="AV432">
        <f t="shared" si="406"/>
        <v>1.5707963267949</v>
      </c>
      <c r="AW432" t="str">
        <f t="shared" si="382"/>
        <v>1+9,97785856032675i</v>
      </c>
      <c r="AX432">
        <f t="shared" si="407"/>
        <v>10.0278443072221</v>
      </c>
      <c r="AY432">
        <f t="shared" si="408"/>
        <v>1.47090797049281</v>
      </c>
      <c r="AZ432" t="str">
        <f t="shared" si="383"/>
        <v>1+477,026557128812i</v>
      </c>
      <c r="BA432">
        <f t="shared" si="409"/>
        <v>477.027605287333</v>
      </c>
      <c r="BB432">
        <f t="shared" si="410"/>
        <v>1.56870001052024</v>
      </c>
      <c r="BC432" s="30" t="str">
        <f t="shared" si="411"/>
        <v>-0,00120277416032861+0,0122600730764124i</v>
      </c>
      <c r="BD432" s="32">
        <f t="shared" si="412"/>
        <v>-38.1885396453682</v>
      </c>
      <c r="BE432" s="31">
        <f t="shared" si="413"/>
        <v>95.6030711635464</v>
      </c>
      <c r="BF432" s="30" t="str">
        <f t="shared" si="414"/>
        <v>0,00944359475541487-0,0220310664623464i</v>
      </c>
      <c r="BG432" s="68">
        <f t="shared" si="415"/>
        <v>-32.4067264618631</v>
      </c>
      <c r="BH432" s="31">
        <f t="shared" si="416"/>
        <v>-66.7976544187083</v>
      </c>
      <c r="BI432" s="30" t="str">
        <f t="shared" si="369"/>
        <v>0,0667550649276649+0,0307694486758843i</v>
      </c>
      <c r="BJ432" s="68">
        <f t="shared" si="417"/>
        <v>-22.6736522012343</v>
      </c>
      <c r="BK432" s="31">
        <f t="shared" si="370"/>
        <v>24.746419702316</v>
      </c>
      <c r="BL432" s="32">
        <f t="shared" si="418"/>
        <v>-32.4067264618631</v>
      </c>
      <c r="BM432" s="31">
        <f t="shared" si="419"/>
        <v>-66.7976544187083</v>
      </c>
      <c r="BO432">
        <f t="shared" si="420"/>
        <v>0</v>
      </c>
      <c r="BP432">
        <f t="shared" si="421"/>
        <v>0</v>
      </c>
    </row>
    <row r="433" spans="14:68">
      <c r="N433" s="7">
        <v>15</v>
      </c>
      <c r="O433" s="18">
        <f t="shared" si="422"/>
        <v>141253.754462276</v>
      </c>
      <c r="P433" s="86" t="str">
        <f t="shared" si="372"/>
        <v>163,636363636364</v>
      </c>
      <c r="Q433" s="4" t="str">
        <f t="shared" si="373"/>
        <v>1+5421,96183477756i</v>
      </c>
      <c r="R433" s="4">
        <f t="shared" si="384"/>
        <v>5421.9619269951</v>
      </c>
      <c r="S433" s="4">
        <f t="shared" si="385"/>
        <v>1.57061189171049</v>
      </c>
      <c r="T433" s="4" t="str">
        <f t="shared" si="374"/>
        <v>1+13,9163687092624i</v>
      </c>
      <c r="U433" s="4">
        <f t="shared" si="386"/>
        <v>13.9522513614161</v>
      </c>
      <c r="V433" s="4">
        <f t="shared" si="387"/>
        <v>1.49906179953929</v>
      </c>
      <c r="W433" t="str">
        <f t="shared" si="375"/>
        <v>1-13,3128527193199i</v>
      </c>
      <c r="X433" s="4">
        <f t="shared" si="388"/>
        <v>13.3503575804659</v>
      </c>
      <c r="Y433" s="4">
        <f t="shared" si="389"/>
        <v>-1.49582174477412</v>
      </c>
      <c r="Z433" t="str">
        <f t="shared" si="376"/>
        <v>0,837121443676007+2,75766234900198i</v>
      </c>
      <c r="AA433" s="4">
        <f t="shared" si="390"/>
        <v>2.88192191819371</v>
      </c>
      <c r="AB433" s="4">
        <f t="shared" si="391"/>
        <v>1.27607487263394</v>
      </c>
      <c r="AC433" s="67" t="str">
        <f t="shared" si="392"/>
        <v>-1,86458834036858-0,572999078471634i</v>
      </c>
      <c r="AD433" s="68">
        <f t="shared" si="393"/>
        <v>5.80356672549415</v>
      </c>
      <c r="AE433" s="31">
        <f t="shared" si="394"/>
        <v>-162.917495729252</v>
      </c>
      <c r="AF433" s="32" t="str">
        <f t="shared" si="395"/>
        <v>748,315388573934</v>
      </c>
      <c r="AG433" s="32" t="str">
        <f t="shared" si="377"/>
        <v>1+4417,89482833727i</v>
      </c>
      <c r="AH433" s="32">
        <f t="shared" si="396"/>
        <v>4417.89494151334</v>
      </c>
      <c r="AI433" s="32">
        <f t="shared" si="397"/>
        <v>1.57056997464715</v>
      </c>
      <c r="AJ433" s="32" t="str">
        <f t="shared" si="378"/>
        <v>1+13,9163687092624i</v>
      </c>
      <c r="AK433" s="32">
        <f t="shared" si="398"/>
        <v>13.9522513614161</v>
      </c>
      <c r="AL433" s="32">
        <f t="shared" si="399"/>
        <v>1.49906179953929</v>
      </c>
      <c r="AM433" s="32" t="str">
        <f t="shared" si="379"/>
        <v>1-2,37200636744175i</v>
      </c>
      <c r="AN433" s="32">
        <f t="shared" si="400"/>
        <v>2.57418224047642</v>
      </c>
      <c r="AO433" s="32">
        <f t="shared" si="401"/>
        <v>-1.17182259213619</v>
      </c>
      <c r="AP433" s="30" t="str">
        <f t="shared" si="402"/>
        <v>1,95672023562666-5,76021782009325i</v>
      </c>
      <c r="AQ433" s="32">
        <f t="shared" si="403"/>
        <v>15.6830574761912</v>
      </c>
      <c r="AR433" s="31">
        <f t="shared" si="404"/>
        <v>-71.2376055018464</v>
      </c>
      <c r="AS433" t="str">
        <f t="shared" si="380"/>
        <v>-0,0000504684572142411</v>
      </c>
      <c r="AT433" t="str">
        <f t="shared" si="381"/>
        <v>0,199426533735412i</v>
      </c>
      <c r="AU433">
        <f t="shared" si="405"/>
        <v>0.199426533735412</v>
      </c>
      <c r="AV433">
        <f t="shared" si="406"/>
        <v>1.5707963267949</v>
      </c>
      <c r="AW433" t="str">
        <f t="shared" si="382"/>
        <v>1+10,2102727427509i</v>
      </c>
      <c r="AX433">
        <f t="shared" si="407"/>
        <v>10.2591261558362</v>
      </c>
      <c r="AY433">
        <f t="shared" si="408"/>
        <v>1.47316712036365</v>
      </c>
      <c r="AZ433" t="str">
        <f t="shared" si="383"/>
        <v>1+488,137933041729i</v>
      </c>
      <c r="BA433">
        <f t="shared" si="409"/>
        <v>488.1389573413</v>
      </c>
      <c r="BB433">
        <f t="shared" si="410"/>
        <v>1.56874772836935</v>
      </c>
      <c r="BC433" s="30" t="str">
        <f t="shared" si="411"/>
        <v>-0,00114915474234731+0,0119862512586242i</v>
      </c>
      <c r="BD433" s="32">
        <f t="shared" si="412"/>
        <v>-38.3865962619225</v>
      </c>
      <c r="BE433" s="31">
        <f t="shared" si="413"/>
        <v>95.4763654420205</v>
      </c>
      <c r="BF433" s="30" t="str">
        <f t="shared" si="414"/>
        <v>0,00901081145938118-0,0216909597331726i</v>
      </c>
      <c r="BG433" s="68">
        <f t="shared" si="415"/>
        <v>-32.5830295364284</v>
      </c>
      <c r="BH433" s="31">
        <f t="shared" si="416"/>
        <v>-67.441130287232</v>
      </c>
      <c r="BI433" s="30" t="str">
        <f t="shared" si="369"/>
        <v>0,0667948437578249+0,0300731220119691i</v>
      </c>
      <c r="BJ433" s="68">
        <f t="shared" si="417"/>
        <v>-22.7035387857313</v>
      </c>
      <c r="BK433" s="31">
        <f t="shared" si="370"/>
        <v>24.2387599401741</v>
      </c>
      <c r="BL433" s="32">
        <f t="shared" si="418"/>
        <v>-32.5830295364284</v>
      </c>
      <c r="BM433" s="31">
        <f t="shared" si="419"/>
        <v>-67.441130287232</v>
      </c>
      <c r="BO433">
        <f t="shared" si="420"/>
        <v>0</v>
      </c>
      <c r="BP433">
        <f t="shared" si="421"/>
        <v>0</v>
      </c>
    </row>
    <row r="434" spans="14:68">
      <c r="N434" s="7">
        <v>16</v>
      </c>
      <c r="O434" s="18">
        <f t="shared" si="422"/>
        <v>144543.977074593</v>
      </c>
      <c r="P434" s="86" t="str">
        <f t="shared" si="372"/>
        <v>163,636363636364</v>
      </c>
      <c r="Q434" s="4" t="str">
        <f t="shared" si="373"/>
        <v>1+5548,25554994156i</v>
      </c>
      <c r="R434" s="4">
        <f t="shared" si="384"/>
        <v>5548.25564005997</v>
      </c>
      <c r="S434" s="4">
        <f t="shared" si="385"/>
        <v>1.57061608996547</v>
      </c>
      <c r="T434" s="4" t="str">
        <f t="shared" si="374"/>
        <v>1+14,2405225781833i</v>
      </c>
      <c r="U434" s="4">
        <f t="shared" si="386"/>
        <v>14.2755904711416</v>
      </c>
      <c r="V434" s="4">
        <f t="shared" si="387"/>
        <v>1.50068926967759</v>
      </c>
      <c r="W434" t="str">
        <f t="shared" si="375"/>
        <v>1-13,6229488949458i</v>
      </c>
      <c r="X434" s="4">
        <f t="shared" si="388"/>
        <v>13.659602358572</v>
      </c>
      <c r="Y434" s="4">
        <f t="shared" si="389"/>
        <v>-1.49752220181397</v>
      </c>
      <c r="Z434" t="str">
        <f t="shared" si="376"/>
        <v>0,829445213807832+2,8218965568102i</v>
      </c>
      <c r="AA434" s="4">
        <f t="shared" si="390"/>
        <v>2.94127175555847</v>
      </c>
      <c r="AB434" s="4">
        <f t="shared" si="391"/>
        <v>1.2849159180841</v>
      </c>
      <c r="AC434" s="67" t="str">
        <f t="shared" si="392"/>
        <v>-1,87411544792608-0,557684134620548i</v>
      </c>
      <c r="AD434" s="68">
        <f t="shared" si="393"/>
        <v>5.82440683415785</v>
      </c>
      <c r="AE434" s="31">
        <f t="shared" si="394"/>
        <v>-163.42847270374</v>
      </c>
      <c r="AF434" s="32" t="str">
        <f t="shared" si="395"/>
        <v>748,315388573934</v>
      </c>
      <c r="AG434" s="32" t="str">
        <f t="shared" si="377"/>
        <v>1+4520,8008184709i</v>
      </c>
      <c r="AH434" s="32">
        <f t="shared" si="396"/>
        <v>4520.80092907077</v>
      </c>
      <c r="AI434" s="32">
        <f t="shared" si="397"/>
        <v>1.5705751270509</v>
      </c>
      <c r="AJ434" s="32" t="str">
        <f t="shared" si="378"/>
        <v>1+14,2405225781833i</v>
      </c>
      <c r="AK434" s="32">
        <f t="shared" si="398"/>
        <v>14.2755904711416</v>
      </c>
      <c r="AL434" s="32">
        <f t="shared" si="399"/>
        <v>1.50068926967759</v>
      </c>
      <c r="AM434" s="32" t="str">
        <f t="shared" si="379"/>
        <v>1-2,42725749344847i</v>
      </c>
      <c r="AN434" s="32">
        <f t="shared" si="400"/>
        <v>2.62518169647393</v>
      </c>
      <c r="AO434" s="32">
        <f t="shared" si="401"/>
        <v>-1.17999871322318</v>
      </c>
      <c r="AP434" s="30" t="str">
        <f t="shared" si="402"/>
        <v>1,95671851454738-5,8866098727304i</v>
      </c>
      <c r="AQ434" s="32">
        <f t="shared" si="403"/>
        <v>15.8524548200718</v>
      </c>
      <c r="AR434" s="31">
        <f t="shared" si="404"/>
        <v>-71.6131107736999</v>
      </c>
      <c r="AS434" t="str">
        <f t="shared" si="380"/>
        <v>-0,0000504684572142411</v>
      </c>
      <c r="AT434" t="str">
        <f t="shared" si="381"/>
        <v>0,204071774446288i</v>
      </c>
      <c r="AU434">
        <f t="shared" si="405"/>
        <v>0.204071774446288</v>
      </c>
      <c r="AV434">
        <f t="shared" si="406"/>
        <v>1.5707963267949</v>
      </c>
      <c r="AW434" t="str">
        <f t="shared" si="382"/>
        <v>1+10,4481005469322i</v>
      </c>
      <c r="AX434">
        <f t="shared" si="407"/>
        <v>10.4958470377004</v>
      </c>
      <c r="AY434">
        <f t="shared" si="408"/>
        <v>1.4753758121496</v>
      </c>
      <c r="AZ434" t="str">
        <f t="shared" si="383"/>
        <v>1+499,508126148012i</v>
      </c>
      <c r="BA434">
        <f t="shared" si="409"/>
        <v>499.509127131726</v>
      </c>
      <c r="BB434">
        <f t="shared" si="410"/>
        <v>1.56879436003661</v>
      </c>
      <c r="BC434" s="30" t="str">
        <f t="shared" si="411"/>
        <v>-0,00109790375047539+0,0117183161624067i</v>
      </c>
      <c r="BD434" s="32">
        <f t="shared" si="412"/>
        <v>-38.5847395322719</v>
      </c>
      <c r="BE434" s="31">
        <f t="shared" si="413"/>
        <v>95.3524885221665</v>
      </c>
      <c r="BF434" s="30" t="str">
        <f t="shared" si="414"/>
        <v>0,00859271738734367-0,0213491938406677i</v>
      </c>
      <c r="BG434" s="68">
        <f t="shared" si="415"/>
        <v>-32.7603326981141</v>
      </c>
      <c r="BH434" s="31">
        <f t="shared" si="416"/>
        <v>-68.0759841815737</v>
      </c>
      <c r="BI434" s="30" t="str">
        <f t="shared" ref="BI434:BI497" si="423">IMPRODUCT(AP434,BC434)</f>
        <v>0,0668328670176533+0,0293923772511572i</v>
      </c>
      <c r="BJ434" s="68">
        <f t="shared" si="417"/>
        <v>-22.7322847122001</v>
      </c>
      <c r="BK434" s="31">
        <f t="shared" ref="BK434:BK497" si="424">(180/PI())*IMARGUMENT(BI434)</f>
        <v>23.7393777484667</v>
      </c>
      <c r="BL434" s="32">
        <f t="shared" si="418"/>
        <v>-32.7603326981141</v>
      </c>
      <c r="BM434" s="31">
        <f t="shared" si="419"/>
        <v>-68.0759841815737</v>
      </c>
      <c r="BO434">
        <f t="shared" si="420"/>
        <v>0</v>
      </c>
      <c r="BP434">
        <f t="shared" si="421"/>
        <v>0</v>
      </c>
    </row>
    <row r="435" spans="14:68">
      <c r="N435" s="7">
        <v>17</v>
      </c>
      <c r="O435" s="18">
        <f t="shared" si="422"/>
        <v>147910.838816821</v>
      </c>
      <c r="P435" s="86" t="str">
        <f t="shared" si="372"/>
        <v>163,636363636364</v>
      </c>
      <c r="Q435" s="4" t="str">
        <f t="shared" si="373"/>
        <v>1+5677,491023638i</v>
      </c>
      <c r="R435" s="4">
        <f t="shared" si="384"/>
        <v>5677.49111170507</v>
      </c>
      <c r="S435" s="4">
        <f t="shared" si="385"/>
        <v>1.57062019265651</v>
      </c>
      <c r="T435" s="4" t="str">
        <f t="shared" si="374"/>
        <v>1+14,5722269606709i</v>
      </c>
      <c r="U435" s="4">
        <f t="shared" si="386"/>
        <v>14.6064985055729</v>
      </c>
      <c r="V435" s="4">
        <f t="shared" si="387"/>
        <v>1.50228005360103</v>
      </c>
      <c r="W435" t="str">
        <f t="shared" si="375"/>
        <v>1-13,9402681383969i</v>
      </c>
      <c r="X435" s="4">
        <f t="shared" si="388"/>
        <v>13.9760894305383</v>
      </c>
      <c r="Y435" s="4">
        <f t="shared" si="389"/>
        <v>-1.49918436202652</v>
      </c>
      <c r="Z435" t="str">
        <f t="shared" si="376"/>
        <v>0,821407214371463+2,88762697152507i</v>
      </c>
      <c r="AA435" s="4">
        <f t="shared" si="390"/>
        <v>3.00218242925052</v>
      </c>
      <c r="AB435" s="4">
        <f t="shared" si="391"/>
        <v>1.29365896623402</v>
      </c>
      <c r="AC435" s="67" t="str">
        <f t="shared" si="392"/>
        <v>-1,8832820557074-0,542380333174995i</v>
      </c>
      <c r="AD435" s="68">
        <f t="shared" si="393"/>
        <v>5.84436135337801</v>
      </c>
      <c r="AE435" s="31">
        <f t="shared" si="394"/>
        <v>-163.933737089815</v>
      </c>
      <c r="AF435" s="32" t="str">
        <f t="shared" si="395"/>
        <v>748,315388573934</v>
      </c>
      <c r="AG435" s="32" t="str">
        <f t="shared" si="377"/>
        <v>1+4626,10379703837i</v>
      </c>
      <c r="AH435" s="32">
        <f t="shared" si="396"/>
        <v>4626.10390512068</v>
      </c>
      <c r="AI435" s="32">
        <f t="shared" si="397"/>
        <v>1.57058016217164</v>
      </c>
      <c r="AJ435" s="32" t="str">
        <f t="shared" si="378"/>
        <v>1+14,5722269606709i</v>
      </c>
      <c r="AK435" s="32">
        <f t="shared" si="398"/>
        <v>14.6064985055729</v>
      </c>
      <c r="AL435" s="32">
        <f t="shared" si="399"/>
        <v>1.50228005360103</v>
      </c>
      <c r="AM435" s="32" t="str">
        <f t="shared" si="379"/>
        <v>1-2,48379558350677i</v>
      </c>
      <c r="AN435" s="32">
        <f t="shared" si="400"/>
        <v>2.67754374392796</v>
      </c>
      <c r="AO435" s="32">
        <f t="shared" si="401"/>
        <v>-1.18804230226978</v>
      </c>
      <c r="AP435" s="30" t="str">
        <f t="shared" si="402"/>
        <v>1,95671687092944-6,01612308380633i</v>
      </c>
      <c r="AQ435" s="32">
        <f t="shared" si="403"/>
        <v>16.0230397318162</v>
      </c>
      <c r="AR435" s="31">
        <f t="shared" si="404"/>
        <v>-71.9831177644455</v>
      </c>
      <c r="AS435" t="str">
        <f t="shared" si="380"/>
        <v>-0,0000504684572142411</v>
      </c>
      <c r="AT435" t="str">
        <f t="shared" si="381"/>
        <v>0,208825216713185i</v>
      </c>
      <c r="AU435">
        <f t="shared" si="405"/>
        <v>0.208825216713185</v>
      </c>
      <c r="AV435">
        <f t="shared" si="406"/>
        <v>1.5707963267949</v>
      </c>
      <c r="AW435" t="str">
        <f t="shared" si="382"/>
        <v>1+10,6914680723204i</v>
      </c>
      <c r="AX435">
        <f t="shared" si="407"/>
        <v>10.738132497853</v>
      </c>
      <c r="AY435">
        <f t="shared" si="408"/>
        <v>1.47753513068321</v>
      </c>
      <c r="AZ435" t="str">
        <f t="shared" si="383"/>
        <v>1+511,143165074551i</v>
      </c>
      <c r="BA435">
        <f t="shared" si="409"/>
        <v>511.144143273138</v>
      </c>
      <c r="BB435">
        <f t="shared" si="410"/>
        <v>1.56883993024595</v>
      </c>
      <c r="BC435" s="30" t="str">
        <f t="shared" si="411"/>
        <v>-0,0010489184813231+0,0114561564367217i</v>
      </c>
      <c r="BD435" s="32">
        <f t="shared" si="412"/>
        <v>-38.7829656272417</v>
      </c>
      <c r="BE435" s="31">
        <f t="shared" si="413"/>
        <v>95.2313796642326</v>
      </c>
      <c r="BF435" s="30" t="str">
        <f t="shared" si="414"/>
        <v>0,00818900329882963-0,0210062610892814i</v>
      </c>
      <c r="BG435" s="68">
        <f t="shared" si="415"/>
        <v>-32.9386042738636</v>
      </c>
      <c r="BH435" s="31">
        <f t="shared" si="416"/>
        <v>-68.7023574255821</v>
      </c>
      <c r="BI435" s="30" t="str">
        <f t="shared" si="423"/>
        <v>0,0668692107020233+0,0287268772642592i</v>
      </c>
      <c r="BJ435" s="68">
        <f t="shared" si="417"/>
        <v>-22.7599258954254</v>
      </c>
      <c r="BK435" s="31">
        <f t="shared" si="424"/>
        <v>23.248261899787</v>
      </c>
      <c r="BL435" s="32">
        <f t="shared" si="418"/>
        <v>-32.9386042738636</v>
      </c>
      <c r="BM435" s="31">
        <f t="shared" si="419"/>
        <v>-68.7023574255821</v>
      </c>
      <c r="BO435">
        <f t="shared" si="420"/>
        <v>0</v>
      </c>
      <c r="BP435">
        <f t="shared" si="421"/>
        <v>0</v>
      </c>
    </row>
    <row r="436" spans="14:68">
      <c r="N436" s="7">
        <v>18</v>
      </c>
      <c r="O436" s="18">
        <f t="shared" si="422"/>
        <v>151356.124843621</v>
      </c>
      <c r="P436" s="86" t="str">
        <f t="shared" si="372"/>
        <v>163,636363636364</v>
      </c>
      <c r="Q436" s="4" t="str">
        <f t="shared" si="373"/>
        <v>1+5809,73677822565i</v>
      </c>
      <c r="R436" s="4">
        <f t="shared" si="384"/>
        <v>5809.73686428807</v>
      </c>
      <c r="S436" s="4">
        <f t="shared" si="385"/>
        <v>1.5706242019589</v>
      </c>
      <c r="T436" s="4" t="str">
        <f t="shared" si="374"/>
        <v>1+14,9116577307792i</v>
      </c>
      <c r="U436" s="4">
        <f t="shared" si="386"/>
        <v>14.9451509286426</v>
      </c>
      <c r="V436" s="4">
        <f t="shared" si="387"/>
        <v>1.50383496254117</v>
      </c>
      <c r="W436" t="str">
        <f t="shared" si="375"/>
        <v>1-14,2649786965362i</v>
      </c>
      <c r="X436" s="4">
        <f t="shared" si="388"/>
        <v>14.29998661582</v>
      </c>
      <c r="Y436" s="4">
        <f t="shared" si="389"/>
        <v>-1.5008090699531</v>
      </c>
      <c r="Z436" t="str">
        <f t="shared" si="376"/>
        <v>0,812990395692425+2,9548884442825i</v>
      </c>
      <c r="AA436" s="4">
        <f t="shared" si="390"/>
        <v>3.06468907095685</v>
      </c>
      <c r="AB436" s="4">
        <f t="shared" si="391"/>
        <v>1.30230550415481</v>
      </c>
      <c r="AC436" s="67" t="str">
        <f t="shared" si="392"/>
        <v>-1,8920953790452-0,527094603893878i</v>
      </c>
      <c r="AD436" s="68">
        <f t="shared" si="393"/>
        <v>5.86345747818984</v>
      </c>
      <c r="AE436" s="31">
        <f t="shared" si="394"/>
        <v>-164.433376123519</v>
      </c>
      <c r="AF436" s="32" t="str">
        <f t="shared" si="395"/>
        <v>748,315388573934</v>
      </c>
      <c r="AG436" s="32" t="str">
        <f t="shared" si="377"/>
        <v>1+4733,85959707275i</v>
      </c>
      <c r="AH436" s="32">
        <f t="shared" si="396"/>
        <v>4733.85970269481</v>
      </c>
      <c r="AI436" s="32">
        <f t="shared" si="397"/>
        <v>1.57058508267905</v>
      </c>
      <c r="AJ436" s="32" t="str">
        <f t="shared" si="378"/>
        <v>1+14,9116577307792i</v>
      </c>
      <c r="AK436" s="32">
        <f t="shared" si="398"/>
        <v>14.9451509286426</v>
      </c>
      <c r="AL436" s="32">
        <f t="shared" si="399"/>
        <v>1.50383496254117</v>
      </c>
      <c r="AM436" s="32" t="str">
        <f t="shared" si="379"/>
        <v>1-2,54165061486036i</v>
      </c>
      <c r="AN436" s="32">
        <f t="shared" si="400"/>
        <v>2.73129783217064</v>
      </c>
      <c r="AO436" s="32">
        <f t="shared" si="401"/>
        <v>-1.1959534597309</v>
      </c>
      <c r="AP436" s="30" t="str">
        <f t="shared" si="402"/>
        <v>1,95671530128648-6,14882612294208i</v>
      </c>
      <c r="AQ436" s="32">
        <f t="shared" si="403"/>
        <v>16.1947731789093</v>
      </c>
      <c r="AR436" s="31">
        <f t="shared" si="404"/>
        <v>-72.347585902541</v>
      </c>
      <c r="AS436" t="str">
        <f t="shared" si="380"/>
        <v>-0,0000504684572142411</v>
      </c>
      <c r="AT436" t="str">
        <f t="shared" si="381"/>
        <v>0,213689380874112i</v>
      </c>
      <c r="AU436">
        <f t="shared" si="405"/>
        <v>0.213689380874112</v>
      </c>
      <c r="AV436">
        <f t="shared" si="406"/>
        <v>1.5707963267949</v>
      </c>
      <c r="AW436" t="str">
        <f t="shared" si="382"/>
        <v>1+10,9405043555989i</v>
      </c>
      <c r="AX436">
        <f t="shared" si="407"/>
        <v>10.9861110296082</v>
      </c>
      <c r="AY436">
        <f t="shared" si="408"/>
        <v>1.47964614027409</v>
      </c>
      <c r="AZ436" t="str">
        <f t="shared" si="383"/>
        <v>1+523,049218872993i</v>
      </c>
      <c r="BA436">
        <f t="shared" si="409"/>
        <v>523.050174805103</v>
      </c>
      <c r="BB436">
        <f t="shared" si="410"/>
        <v>1.56888446315853</v>
      </c>
      <c r="BC436" s="30" t="str">
        <f t="shared" si="411"/>
        <v>-0,00100210051804665+0,011199661803095i</v>
      </c>
      <c r="BD436" s="32">
        <f t="shared" si="412"/>
        <v>-38.9812708838423</v>
      </c>
      <c r="BE436" s="31">
        <f t="shared" si="413"/>
        <v>95.1129792721043</v>
      </c>
      <c r="BF436" s="30" t="str">
        <f t="shared" si="414"/>
        <v>0,00779935106138262-0,0206626265688834i</v>
      </c>
      <c r="BG436" s="68">
        <f t="shared" si="415"/>
        <v>-33.1178134056525</v>
      </c>
      <c r="BH436" s="31">
        <f t="shared" si="416"/>
        <v>-69.3203968514147</v>
      </c>
      <c r="BI436" s="30" t="str">
        <f t="shared" si="423"/>
        <v>0,0669039476458981+0,0280762914625287i</v>
      </c>
      <c r="BJ436" s="68">
        <f t="shared" si="417"/>
        <v>-22.786497704933</v>
      </c>
      <c r="BK436" s="31">
        <f t="shared" si="424"/>
        <v>22.7653933695633</v>
      </c>
      <c r="BL436" s="32">
        <f t="shared" si="418"/>
        <v>-33.1178134056525</v>
      </c>
      <c r="BM436" s="31">
        <f t="shared" si="419"/>
        <v>-69.3203968514147</v>
      </c>
      <c r="BO436">
        <f t="shared" si="420"/>
        <v>0</v>
      </c>
      <c r="BP436">
        <f t="shared" si="421"/>
        <v>0</v>
      </c>
    </row>
    <row r="437" spans="14:68">
      <c r="N437" s="7">
        <v>19</v>
      </c>
      <c r="O437" s="18">
        <f t="shared" si="422"/>
        <v>154881.661891248</v>
      </c>
      <c r="P437" s="86" t="str">
        <f t="shared" si="372"/>
        <v>163,636363636364</v>
      </c>
      <c r="Q437" s="4" t="str">
        <f t="shared" si="373"/>
        <v>1+5945,06293215406i</v>
      </c>
      <c r="R437" s="4">
        <f t="shared" si="384"/>
        <v>5945.06301625746</v>
      </c>
      <c r="S437" s="4">
        <f t="shared" si="385"/>
        <v>1.57062811999844</v>
      </c>
      <c r="T437" s="4" t="str">
        <f t="shared" si="374"/>
        <v>1+15,2589948591954i</v>
      </c>
      <c r="U437" s="4">
        <f t="shared" si="386"/>
        <v>15.2917273096584</v>
      </c>
      <c r="V437" s="4">
        <f t="shared" si="387"/>
        <v>1.50535479083947</v>
      </c>
      <c r="W437" t="str">
        <f t="shared" si="375"/>
        <v>1-14,5972527351997i</v>
      </c>
      <c r="X437" s="4">
        <f t="shared" si="388"/>
        <v>14.6314656618978</v>
      </c>
      <c r="Y437" s="4">
        <f t="shared" si="389"/>
        <v>-1.50239715270648</v>
      </c>
      <c r="Z437" t="str">
        <f t="shared" si="376"/>
        <v>0,804176904569837+3,02371663800565i</v>
      </c>
      <c r="AA437" s="4">
        <f t="shared" si="390"/>
        <v>3.12882770391655</v>
      </c>
      <c r="AB437" s="4">
        <f t="shared" si="391"/>
        <v>1.3108571293889</v>
      </c>
      <c r="AC437" s="67" t="str">
        <f t="shared" si="392"/>
        <v>-1,90056273151405-0,511833284884138i</v>
      </c>
      <c r="AD437" s="68">
        <f t="shared" si="393"/>
        <v>5.88172172842844</v>
      </c>
      <c r="AE437" s="31">
        <f t="shared" si="394"/>
        <v>-164.927483336749</v>
      </c>
      <c r="AF437" s="32" t="str">
        <f t="shared" si="395"/>
        <v>748,315388573934</v>
      </c>
      <c r="AG437" s="32" t="str">
        <f t="shared" si="377"/>
        <v>1+4844,12535212553i</v>
      </c>
      <c r="AH437" s="32">
        <f t="shared" si="396"/>
        <v>4844.12545534334</v>
      </c>
      <c r="AI437" s="32">
        <f t="shared" si="397"/>
        <v>1.57058989118205</v>
      </c>
      <c r="AJ437" s="32" t="str">
        <f t="shared" si="378"/>
        <v>1+15,2589948591954i</v>
      </c>
      <c r="AK437" s="32">
        <f t="shared" si="398"/>
        <v>15.2917273096584</v>
      </c>
      <c r="AL437" s="32">
        <f t="shared" si="399"/>
        <v>1.50535479083947</v>
      </c>
      <c r="AM437" s="32" t="str">
        <f t="shared" si="379"/>
        <v>1-2,60085326301267i</v>
      </c>
      <c r="AN437" s="32">
        <f t="shared" si="400"/>
        <v>2.78647406155587</v>
      </c>
      <c r="AO437" s="32">
        <f t="shared" si="401"/>
        <v>-1.20373241812385</v>
      </c>
      <c r="AP437" s="30" t="str">
        <f t="shared" si="402"/>
        <v>1,95671380228907-6,28478935104766i</v>
      </c>
      <c r="AQ437" s="32">
        <f t="shared" si="403"/>
        <v>16.3676168727726</v>
      </c>
      <c r="AR437" s="31">
        <f t="shared" si="404"/>
        <v>-72.7064831473155</v>
      </c>
      <c r="AS437" t="str">
        <f t="shared" si="380"/>
        <v>-0,0000504684572142411</v>
      </c>
      <c r="AT437" t="str">
        <f t="shared" si="381"/>
        <v>0,218666845973291i</v>
      </c>
      <c r="AU437">
        <f t="shared" si="405"/>
        <v>0.218666845973291</v>
      </c>
      <c r="AV437">
        <f t="shared" si="406"/>
        <v>1.5707963267949</v>
      </c>
      <c r="AW437" t="str">
        <f t="shared" si="382"/>
        <v>1+11,1953414391014i</v>
      </c>
      <c r="AX437">
        <f t="shared" si="407"/>
        <v>11.2399141428243</v>
      </c>
      <c r="AY437">
        <f t="shared" si="408"/>
        <v>1.48170988490652</v>
      </c>
      <c r="AZ437" t="str">
        <f t="shared" si="383"/>
        <v>1+535,232600290655i</v>
      </c>
      <c r="BA437">
        <f t="shared" si="409"/>
        <v>535.233534463131</v>
      </c>
      <c r="BB437">
        <f t="shared" si="410"/>
        <v>1.56892798238559</v>
      </c>
      <c r="BC437" s="30" t="str">
        <f t="shared" si="411"/>
        <v>-0,000957355566122316+0,0109487231235136i</v>
      </c>
      <c r="BD437" s="32">
        <f t="shared" si="412"/>
        <v>-39.1796517983214</v>
      </c>
      <c r="BE437" s="31">
        <f t="shared" si="413"/>
        <v>94.9972288827116</v>
      </c>
      <c r="BF437" s="30" t="str">
        <f t="shared" si="414"/>
        <v>0,00742343523137449-0,0203187286820056i</v>
      </c>
      <c r="BG437" s="68">
        <f t="shared" si="415"/>
        <v>-33.2979300698929</v>
      </c>
      <c r="BH437" s="31">
        <f t="shared" si="416"/>
        <v>-69.930254454037</v>
      </c>
      <c r="BI437" s="30" t="str">
        <f t="shared" si="423"/>
        <v>0,0669371476442977+0,0274402957203523i</v>
      </c>
      <c r="BJ437" s="68">
        <f t="shared" si="417"/>
        <v>-22.8120349255488</v>
      </c>
      <c r="BK437" s="31">
        <f t="shared" si="424"/>
        <v>22.2907457353961</v>
      </c>
      <c r="BL437" s="32">
        <f t="shared" si="418"/>
        <v>-33.2979300698929</v>
      </c>
      <c r="BM437" s="31">
        <f t="shared" si="419"/>
        <v>-69.930254454037</v>
      </c>
      <c r="BO437">
        <f t="shared" si="420"/>
        <v>0</v>
      </c>
      <c r="BP437">
        <f t="shared" si="421"/>
        <v>0</v>
      </c>
    </row>
    <row r="438" spans="14:68">
      <c r="N438" s="7">
        <v>20</v>
      </c>
      <c r="O438" s="18">
        <f t="shared" si="422"/>
        <v>158489.319246112</v>
      </c>
      <c r="P438" s="86" t="str">
        <f t="shared" si="372"/>
        <v>163,636363636364</v>
      </c>
      <c r="Q438" s="4" t="str">
        <f t="shared" si="373"/>
        <v>1+6083,54123714136i</v>
      </c>
      <c r="R438" s="4">
        <f t="shared" si="384"/>
        <v>6083.54131933033</v>
      </c>
      <c r="S438" s="4">
        <f t="shared" si="385"/>
        <v>1.57063194885251</v>
      </c>
      <c r="T438" s="4" t="str">
        <f t="shared" si="374"/>
        <v>1+15,6144225086628i</v>
      </c>
      <c r="U438" s="4">
        <f t="shared" si="386"/>
        <v>15.6464114185661</v>
      </c>
      <c r="V438" s="4">
        <f t="shared" si="387"/>
        <v>1.50684031622825</v>
      </c>
      <c r="W438" t="str">
        <f t="shared" si="375"/>
        <v>1-14,937266430481i</v>
      </c>
      <c r="X438" s="4">
        <f t="shared" si="388"/>
        <v>14.9707023354008</v>
      </c>
      <c r="Y438" s="4">
        <f t="shared" si="389"/>
        <v>-1.50394942024992</v>
      </c>
      <c r="Z438" t="str">
        <f t="shared" si="376"/>
        <v>0,794948046407378+3,09414804631392i</v>
      </c>
      <c r="AA438" s="4">
        <f t="shared" si="390"/>
        <v>3.19463527323467</v>
      </c>
      <c r="AB438" s="4">
        <f t="shared" si="391"/>
        <v>1.31931554388067</v>
      </c>
      <c r="AC438" s="67" t="str">
        <f t="shared" si="392"/>
        <v>-1,90869149095476-0,496602135901617i</v>
      </c>
      <c r="AD438" s="68">
        <f t="shared" si="393"/>
        <v>5.8991799258314</v>
      </c>
      <c r="AE438" s="31">
        <f t="shared" si="394"/>
        <v>-165.416158209456</v>
      </c>
      <c r="AF438" s="32" t="str">
        <f t="shared" si="395"/>
        <v>748,315388573934</v>
      </c>
      <c r="AG438" s="32" t="str">
        <f t="shared" si="377"/>
        <v>1+4956,95952655962i</v>
      </c>
      <c r="AH438" s="32">
        <f t="shared" si="396"/>
        <v>4956.9596274279</v>
      </c>
      <c r="AI438" s="32">
        <f t="shared" si="397"/>
        <v>1.57059459023016</v>
      </c>
      <c r="AJ438" s="32" t="str">
        <f t="shared" si="378"/>
        <v>1+15,6144225086628i</v>
      </c>
      <c r="AK438" s="32">
        <f t="shared" si="398"/>
        <v>15.6464114185661</v>
      </c>
      <c r="AL438" s="32">
        <f t="shared" si="399"/>
        <v>1.50684031622825</v>
      </c>
      <c r="AM438" s="32" t="str">
        <f t="shared" si="379"/>
        <v>1-2,66143491799141i</v>
      </c>
      <c r="AN438" s="32">
        <f t="shared" si="400"/>
        <v>2.84310320296396</v>
      </c>
      <c r="AO438" s="32">
        <f t="shared" si="401"/>
        <v>-1.21137953515726</v>
      </c>
      <c r="AP438" s="30" t="str">
        <f t="shared" si="402"/>
        <v>1,95671237075766-6,42408485762839i</v>
      </c>
      <c r="AQ438" s="32">
        <f t="shared" si="403"/>
        <v>16.5415332970909</v>
      </c>
      <c r="AR438" s="31">
        <f t="shared" si="404"/>
        <v>-73.0597855792608</v>
      </c>
      <c r="AS438" t="str">
        <f t="shared" si="380"/>
        <v>-0,0000504684572142411</v>
      </c>
      <c r="AT438" t="str">
        <f t="shared" si="381"/>
        <v>0,223760251128605i</v>
      </c>
      <c r="AU438">
        <f t="shared" si="405"/>
        <v>0.223760251128605</v>
      </c>
      <c r="AV438">
        <f t="shared" si="406"/>
        <v>1.5707963267949</v>
      </c>
      <c r="AW438" t="str">
        <f t="shared" si="382"/>
        <v>1+11,4561144408228i</v>
      </c>
      <c r="AX438">
        <f t="shared" si="407"/>
        <v>11.4996764337623</v>
      </c>
      <c r="AY438">
        <f t="shared" si="408"/>
        <v>1.48372738844973</v>
      </c>
      <c r="AZ438" t="str">
        <f t="shared" si="383"/>
        <v>1+547,699769117636i</v>
      </c>
      <c r="BA438">
        <f t="shared" si="409"/>
        <v>547.700682025787</v>
      </c>
      <c r="BB438">
        <f t="shared" si="410"/>
        <v>1.56897051100094</v>
      </c>
      <c r="BC438" s="30" t="str">
        <f t="shared" si="411"/>
        <v>-0,0009145932940945+0,0107032324611747i</v>
      </c>
      <c r="BD438" s="32">
        <f t="shared" si="412"/>
        <v>-39.3781050194819</v>
      </c>
      <c r="BE438" s="31">
        <f t="shared" si="413"/>
        <v>94.8840711547013</v>
      </c>
      <c r="BF438" s="30" t="str">
        <f t="shared" si="414"/>
        <v>0,00706092453939333-0,0199749797410263i</v>
      </c>
      <c r="BG438" s="68">
        <f t="shared" si="415"/>
        <v>-33.4789250936505</v>
      </c>
      <c r="BH438" s="31">
        <f t="shared" si="416"/>
        <v>-70.5320870547546</v>
      </c>
      <c r="BI438" s="30" t="str">
        <f t="shared" si="423"/>
        <v>0,0669688775687423+0,0268185722953564i</v>
      </c>
      <c r="BJ438" s="68">
        <f t="shared" si="417"/>
        <v>-22.836571722391</v>
      </c>
      <c r="BK438" s="31">
        <f t="shared" si="424"/>
        <v>21.8242855754404</v>
      </c>
      <c r="BL438" s="32">
        <f t="shared" si="418"/>
        <v>-33.4789250936505</v>
      </c>
      <c r="BM438" s="31">
        <f t="shared" si="419"/>
        <v>-70.5320870547546</v>
      </c>
      <c r="BO438">
        <f t="shared" si="420"/>
        <v>0</v>
      </c>
      <c r="BP438">
        <f t="shared" si="421"/>
        <v>0</v>
      </c>
    </row>
    <row r="439" spans="14:68">
      <c r="N439" s="7">
        <v>21</v>
      </c>
      <c r="O439" s="18">
        <f t="shared" si="422"/>
        <v>162181.009735893</v>
      </c>
      <c r="P439" s="86" t="str">
        <f t="shared" si="372"/>
        <v>163,636363636364</v>
      </c>
      <c r="Q439" s="4" t="str">
        <f t="shared" si="373"/>
        <v>1+6225,2451162177i</v>
      </c>
      <c r="R439" s="4">
        <f t="shared" si="384"/>
        <v>6225.24519653582</v>
      </c>
      <c r="S439" s="4">
        <f t="shared" si="385"/>
        <v>1.57063569055123</v>
      </c>
      <c r="T439" s="4" t="str">
        <f t="shared" si="374"/>
        <v>1+15,9781291316254i</v>
      </c>
      <c r="U439" s="4">
        <f t="shared" si="386"/>
        <v>16.0093913234356</v>
      </c>
      <c r="V439" s="4">
        <f t="shared" si="387"/>
        <v>1.50829230011206</v>
      </c>
      <c r="W439" t="str">
        <f t="shared" si="375"/>
        <v>1-15,2852000621417i</v>
      </c>
      <c r="X439" s="4">
        <f t="shared" si="388"/>
        <v>15.3178765153561</v>
      </c>
      <c r="Y439" s="4">
        <f t="shared" si="389"/>
        <v>-1.50546666567745</v>
      </c>
      <c r="Z439" t="str">
        <f t="shared" si="376"/>
        <v>0,785284245559561+3,1662200128722i</v>
      </c>
      <c r="AA439" s="4">
        <f t="shared" si="390"/>
        <v>3.26214967716634</v>
      </c>
      <c r="AB439" s="4">
        <f t="shared" si="391"/>
        <v>1.32768254806663</v>
      </c>
      <c r="AC439" s="67" t="str">
        <f t="shared" si="392"/>
        <v>-1,91648906756204-0,481406353013267i</v>
      </c>
      <c r="AD439" s="68">
        <f t="shared" si="393"/>
        <v>5.91585717437034</v>
      </c>
      <c r="AE439" s="31">
        <f t="shared" si="394"/>
        <v>-165.899505831044</v>
      </c>
      <c r="AF439" s="32" t="str">
        <f t="shared" si="395"/>
        <v>748,315388573934</v>
      </c>
      <c r="AG439" s="32" t="str">
        <f t="shared" si="377"/>
        <v>1+5072,42194654775i</v>
      </c>
      <c r="AH439" s="32">
        <f t="shared" si="396"/>
        <v>5072.42204511999</v>
      </c>
      <c r="AI439" s="32">
        <f t="shared" si="397"/>
        <v>1.57059918231489</v>
      </c>
      <c r="AJ439" s="32" t="str">
        <f t="shared" si="378"/>
        <v>1+15,9781291316254i</v>
      </c>
      <c r="AK439" s="32">
        <f t="shared" si="398"/>
        <v>16.0093913234356</v>
      </c>
      <c r="AL439" s="32">
        <f t="shared" si="399"/>
        <v>1.50829230011206</v>
      </c>
      <c r="AM439" s="32" t="str">
        <f t="shared" si="379"/>
        <v>1-2,7234277009919i</v>
      </c>
      <c r="AN439" s="32">
        <f t="shared" si="400"/>
        <v>2.90121671760833</v>
      </c>
      <c r="AO439" s="32">
        <f t="shared" si="401"/>
        <v>-1.21889528689589</v>
      </c>
      <c r="AP439" s="30" t="str">
        <f t="shared" si="402"/>
        <v>1,95671100365577-6,56678649900739i</v>
      </c>
      <c r="AQ439" s="32">
        <f t="shared" si="403"/>
        <v>16.7164857321408</v>
      </c>
      <c r="AR439" s="31">
        <f t="shared" si="404"/>
        <v>-73.407476992363</v>
      </c>
      <c r="AS439" t="str">
        <f t="shared" si="380"/>
        <v>-0,0000504684572142411</v>
      </c>
      <c r="AT439" t="str">
        <f t="shared" si="381"/>
        <v>0,228972296930882i</v>
      </c>
      <c r="AU439">
        <f t="shared" si="405"/>
        <v>0.228972296930882</v>
      </c>
      <c r="AV439">
        <f t="shared" si="406"/>
        <v>1.5707963267949</v>
      </c>
      <c r="AW439" t="str">
        <f t="shared" si="382"/>
        <v>1+11,7229616260603i</v>
      </c>
      <c r="AX439">
        <f t="shared" si="407"/>
        <v>11.7655356565726</v>
      </c>
      <c r="AY439">
        <f t="shared" si="408"/>
        <v>1.4856996548793</v>
      </c>
      <c r="AZ439" t="str">
        <f t="shared" si="383"/>
        <v>1+560,45733561186i</v>
      </c>
      <c r="BA439">
        <f t="shared" si="409"/>
        <v>560.458227739717</v>
      </c>
      <c r="BB439">
        <f t="shared" si="410"/>
        <v>1.5690120715532</v>
      </c>
      <c r="BC439" s="30" t="str">
        <f t="shared" si="411"/>
        <v>-0,000873727179272866+0,0104630831345637i</v>
      </c>
      <c r="BD439" s="32">
        <f t="shared" si="412"/>
        <v>-39.5766273422608</v>
      </c>
      <c r="BE439" s="31">
        <f t="shared" si="413"/>
        <v>94.7734498564498</v>
      </c>
      <c r="BF439" s="30" t="str">
        <f t="shared" si="414"/>
        <v>0,0067114832801932-0,0196317666254818i</v>
      </c>
      <c r="BG439" s="68">
        <f t="shared" si="415"/>
        <v>-33.6607701678905</v>
      </c>
      <c r="BH439" s="31">
        <f t="shared" si="416"/>
        <v>-71.1260559745938</v>
      </c>
      <c r="BI439" s="30" t="str">
        <f t="shared" si="423"/>
        <v>0,0669992014801685+0,0262108097462308i</v>
      </c>
      <c r="BJ439" s="68">
        <f t="shared" si="417"/>
        <v>-22.86014161012</v>
      </c>
      <c r="BK439" s="31">
        <f t="shared" si="424"/>
        <v>21.3659728640868</v>
      </c>
      <c r="BL439" s="32">
        <f t="shared" si="418"/>
        <v>-33.6607701678905</v>
      </c>
      <c r="BM439" s="31">
        <f t="shared" si="419"/>
        <v>-71.1260559745938</v>
      </c>
      <c r="BO439">
        <f t="shared" si="420"/>
        <v>0</v>
      </c>
      <c r="BP439">
        <f t="shared" si="421"/>
        <v>0</v>
      </c>
    </row>
    <row r="440" spans="14:68">
      <c r="N440" s="7">
        <v>22</v>
      </c>
      <c r="O440" s="18">
        <f t="shared" si="422"/>
        <v>165958.690743756</v>
      </c>
      <c r="P440" s="86" t="str">
        <f t="shared" si="372"/>
        <v>163,636363636364</v>
      </c>
      <c r="Q440" s="4" t="str">
        <f t="shared" si="373"/>
        <v>1+6370,24970265558i</v>
      </c>
      <c r="R440" s="4">
        <f t="shared" si="384"/>
        <v>6370.24978114544</v>
      </c>
      <c r="S440" s="4">
        <f t="shared" si="385"/>
        <v>1.57063934707849</v>
      </c>
      <c r="T440" s="4" t="str">
        <f t="shared" si="374"/>
        <v>1+16,3503075701493i</v>
      </c>
      <c r="U440" s="4">
        <f t="shared" si="386"/>
        <v>16.3808594902246</v>
      </c>
      <c r="V440" s="4">
        <f t="shared" si="387"/>
        <v>1.50971148784892</v>
      </c>
      <c r="W440" t="str">
        <f t="shared" si="375"/>
        <v>1-15,641238109199i</v>
      </c>
      <c r="X440" s="4">
        <f t="shared" si="388"/>
        <v>15.6731722886166</v>
      </c>
      <c r="Y440" s="4">
        <f t="shared" si="389"/>
        <v>-1.50694966549494</v>
      </c>
      <c r="Z440" t="str">
        <f t="shared" si="376"/>
        <v>0,775165003809128+3,23997075119121i</v>
      </c>
      <c r="AA440" s="4">
        <f t="shared" si="390"/>
        <v>3.331409799425</v>
      </c>
      <c r="AB440" s="4">
        <f t="shared" si="391"/>
        <v>1.33596003513821</v>
      </c>
      <c r="AC440" s="67" t="str">
        <f t="shared" si="392"/>
        <v>-1,92396287401774-0,466250584417083i</v>
      </c>
      <c r="AD440" s="68">
        <f t="shared" si="393"/>
        <v>5.93177784358858</v>
      </c>
      <c r="AE440" s="31">
        <f t="shared" si="394"/>
        <v>-166.377636571701</v>
      </c>
      <c r="AF440" s="32" t="str">
        <f t="shared" si="395"/>
        <v>748,315388573934</v>
      </c>
      <c r="AG440" s="32" t="str">
        <f t="shared" si="377"/>
        <v>1+5190,57383179343i</v>
      </c>
      <c r="AH440" s="32">
        <f t="shared" si="396"/>
        <v>5190.57392812189</v>
      </c>
      <c r="AI440" s="32">
        <f t="shared" si="397"/>
        <v>1.57060366987101</v>
      </c>
      <c r="AJ440" s="32" t="str">
        <f t="shared" si="378"/>
        <v>1+16,3503075701493i</v>
      </c>
      <c r="AK440" s="32">
        <f t="shared" si="398"/>
        <v>16.3808594902246</v>
      </c>
      <c r="AL440" s="32">
        <f t="shared" si="399"/>
        <v>1.50971148784892</v>
      </c>
      <c r="AM440" s="32" t="str">
        <f t="shared" si="379"/>
        <v>1-2,7868644814083i</v>
      </c>
      <c r="AN440" s="32">
        <f t="shared" si="400"/>
        <v>2.96084677714588</v>
      </c>
      <c r="AO440" s="32">
        <f t="shared" si="401"/>
        <v>-1.22628026098989</v>
      </c>
      <c r="AP440" s="30" t="str">
        <f t="shared" si="402"/>
        <v>1,95670969808361-6,71296993748563i</v>
      </c>
      <c r="AQ440" s="32">
        <f t="shared" si="403"/>
        <v>16.8924382753008</v>
      </c>
      <c r="AR440" s="31">
        <f t="shared" si="404"/>
        <v>-73.7495484901296</v>
      </c>
      <c r="AS440" t="str">
        <f t="shared" si="380"/>
        <v>-0,0000504684572142411</v>
      </c>
      <c r="AT440" t="str">
        <f t="shared" si="381"/>
        <v>0,2343057468758i</v>
      </c>
      <c r="AU440">
        <f t="shared" si="405"/>
        <v>0.2343057468758</v>
      </c>
      <c r="AV440">
        <f t="shared" si="406"/>
        <v>1.5707963267949</v>
      </c>
      <c r="AW440" t="str">
        <f t="shared" si="382"/>
        <v>1+11,9960244807237i</v>
      </c>
      <c r="AX440">
        <f t="shared" si="407"/>
        <v>12.0376327964481</v>
      </c>
      <c r="AY440">
        <f t="shared" si="408"/>
        <v>1.48762766850863</v>
      </c>
      <c r="AZ440" t="str">
        <f t="shared" si="383"/>
        <v>1+573,512064003961i</v>
      </c>
      <c r="BA440">
        <f t="shared" si="409"/>
        <v>573.51293582454</v>
      </c>
      <c r="BB440">
        <f t="shared" si="410"/>
        <v>1.56905268607775</v>
      </c>
      <c r="BC440" s="30" t="str">
        <f t="shared" si="411"/>
        <v>-0,000834674358339281+0,0102281697653138i</v>
      </c>
      <c r="BD440" s="32">
        <f t="shared" si="412"/>
        <v>-39.7752157015586</v>
      </c>
      <c r="BE440" s="31">
        <f t="shared" si="413"/>
        <v>94.6653098534894</v>
      </c>
      <c r="BF440" s="30" t="str">
        <f t="shared" si="414"/>
        <v>0,00637477260793405-0,0192894514902408i</v>
      </c>
      <c r="BG440" s="68">
        <f t="shared" si="415"/>
        <v>-33.8434378579701</v>
      </c>
      <c r="BH440" s="31">
        <f t="shared" si="416"/>
        <v>-71.7123267182111</v>
      </c>
      <c r="BI440" s="30" t="str">
        <f t="shared" si="423"/>
        <v>0,0670281807383468+0,0256167028485568i</v>
      </c>
      <c r="BJ440" s="68">
        <f t="shared" si="417"/>
        <v>-22.8827774262578</v>
      </c>
      <c r="BK440" s="31">
        <f t="shared" si="424"/>
        <v>20.9157613633599</v>
      </c>
      <c r="BL440" s="32">
        <f t="shared" si="418"/>
        <v>-33.8434378579701</v>
      </c>
      <c r="BM440" s="31">
        <f t="shared" si="419"/>
        <v>-71.7123267182111</v>
      </c>
      <c r="BO440">
        <f t="shared" si="420"/>
        <v>0</v>
      </c>
      <c r="BP440">
        <f t="shared" si="421"/>
        <v>0</v>
      </c>
    </row>
    <row r="441" spans="14:68">
      <c r="N441" s="7">
        <v>23</v>
      </c>
      <c r="O441" s="18">
        <f t="shared" si="422"/>
        <v>169824.365246175</v>
      </c>
      <c r="P441" s="86" t="str">
        <f t="shared" si="372"/>
        <v>163,636363636364</v>
      </c>
      <c r="Q441" s="4" t="str">
        <f t="shared" si="373"/>
        <v>1+6518,63187980605i</v>
      </c>
      <c r="R441" s="4">
        <f t="shared" si="384"/>
        <v>6518.63195650926</v>
      </c>
      <c r="S441" s="4">
        <f t="shared" si="385"/>
        <v>1.57064292037303</v>
      </c>
      <c r="T441" s="4" t="str">
        <f t="shared" si="374"/>
        <v>1+16,7311551581689i</v>
      </c>
      <c r="U441" s="4">
        <f t="shared" si="386"/>
        <v>16.7610128848683</v>
      </c>
      <c r="V441" s="4">
        <f t="shared" si="387"/>
        <v>1.51109860903105</v>
      </c>
      <c r="W441" t="str">
        <f t="shared" si="375"/>
        <v>1-16,0055693477381i</v>
      </c>
      <c r="X441" s="4">
        <f t="shared" si="388"/>
        <v>16.0367780475148</v>
      </c>
      <c r="Y441" s="4">
        <f t="shared" si="389"/>
        <v>-1.50839917990146</v>
      </c>
      <c r="Z441" t="str">
        <f t="shared" si="376"/>
        <v>0,76456885688762+3,3154393648886i</v>
      </c>
      <c r="AA441" s="4">
        <f t="shared" si="390"/>
        <v>3.40245554257148</v>
      </c>
      <c r="AB441" s="4">
        <f t="shared" si="391"/>
        <v>1.3441499854881</v>
      </c>
      <c r="AC441" s="67" t="str">
        <f t="shared" si="392"/>
        <v>-1,93112029763656-0,45113894722951i</v>
      </c>
      <c r="AD441" s="68">
        <f t="shared" si="393"/>
        <v>5.94696555472127</v>
      </c>
      <c r="AE441" s="31">
        <f t="shared" si="394"/>
        <v>-166.850665764296</v>
      </c>
      <c r="AF441" s="32" t="str">
        <f t="shared" si="395"/>
        <v>748,315388573934</v>
      </c>
      <c r="AG441" s="32" t="str">
        <f t="shared" si="377"/>
        <v>1+5311,47782799011i</v>
      </c>
      <c r="AH441" s="32">
        <f t="shared" si="396"/>
        <v>5311.47792212587</v>
      </c>
      <c r="AI441" s="32">
        <f t="shared" si="397"/>
        <v>1.5706080552779</v>
      </c>
      <c r="AJ441" s="32" t="str">
        <f t="shared" si="378"/>
        <v>1+16,7311551581689i</v>
      </c>
      <c r="AK441" s="32">
        <f t="shared" si="398"/>
        <v>16.7610128848683</v>
      </c>
      <c r="AL441" s="32">
        <f t="shared" si="399"/>
        <v>1.51109860903105</v>
      </c>
      <c r="AM441" s="32" t="str">
        <f t="shared" si="379"/>
        <v>1-2,85177889426127i</v>
      </c>
      <c r="AN441" s="32">
        <f t="shared" si="400"/>
        <v>3.02202628409384</v>
      </c>
      <c r="AO441" s="32">
        <f t="shared" si="401"/>
        <v>-1.23353514999393</v>
      </c>
      <c r="AP441" s="30" t="str">
        <f t="shared" si="402"/>
        <v>1,95670845127186-6,86271268145881i</v>
      </c>
      <c r="AQ441" s="32">
        <f t="shared" si="403"/>
        <v>17.0693558579284</v>
      </c>
      <c r="AR441" s="31">
        <f t="shared" si="404"/>
        <v>-74.0859980867944</v>
      </c>
      <c r="AS441" t="str">
        <f t="shared" si="380"/>
        <v>-0,0000504684572142411</v>
      </c>
      <c r="AT441" t="str">
        <f t="shared" si="381"/>
        <v>0,239763428829115i</v>
      </c>
      <c r="AU441">
        <f t="shared" si="405"/>
        <v>0.239763428829115</v>
      </c>
      <c r="AV441">
        <f t="shared" si="406"/>
        <v>1.5707963267949</v>
      </c>
      <c r="AW441" t="str">
        <f t="shared" si="382"/>
        <v>1+12,275447786353i</v>
      </c>
      <c r="AX441">
        <f t="shared" si="407"/>
        <v>12.3161121444829</v>
      </c>
      <c r="AY441">
        <f t="shared" si="408"/>
        <v>1.4895123942291</v>
      </c>
      <c r="AZ441" t="str">
        <f t="shared" si="383"/>
        <v>1+586,870876083728i</v>
      </c>
      <c r="BA441">
        <f t="shared" si="409"/>
        <v>586.871728059277</v>
      </c>
      <c r="BB441">
        <f t="shared" si="410"/>
        <v>1.56909237610841</v>
      </c>
      <c r="BC441" s="30" t="str">
        <f t="shared" si="411"/>
        <v>-0,000797355482812281+0,00999838832027604i</v>
      </c>
      <c r="BD441" s="32">
        <f t="shared" si="412"/>
        <v>-39.9738671663103</v>
      </c>
      <c r="BE441" s="31">
        <f t="shared" si="413"/>
        <v>94.5595970954116</v>
      </c>
      <c r="BF441" s="30" t="str">
        <f t="shared" si="414"/>
        <v>0,00605045173809176-0,0189483725158538i</v>
      </c>
      <c r="BG441" s="68">
        <f t="shared" si="415"/>
        <v>-34.026901611589</v>
      </c>
      <c r="BH441" s="31">
        <f t="shared" si="416"/>
        <v>-72.2910686688841</v>
      </c>
      <c r="BI441" s="30" t="str">
        <f t="shared" si="423"/>
        <v>0,0670558741078213+0,0250359525089085i</v>
      </c>
      <c r="BJ441" s="68">
        <f t="shared" si="417"/>
        <v>-22.9045113083819</v>
      </c>
      <c r="BK441" s="31">
        <f t="shared" si="424"/>
        <v>20.4735990086172</v>
      </c>
      <c r="BL441" s="32">
        <f t="shared" si="418"/>
        <v>-34.026901611589</v>
      </c>
      <c r="BM441" s="31">
        <f t="shared" si="419"/>
        <v>-72.2910686688841</v>
      </c>
      <c r="BO441">
        <f t="shared" si="420"/>
        <v>0</v>
      </c>
      <c r="BP441">
        <f t="shared" si="421"/>
        <v>0</v>
      </c>
    </row>
    <row r="442" spans="14:68">
      <c r="N442" s="7">
        <v>24</v>
      </c>
      <c r="O442" s="18">
        <f t="shared" si="422"/>
        <v>173780.082874938</v>
      </c>
      <c r="P442" s="86" t="str">
        <f t="shared" si="372"/>
        <v>163,636363636364</v>
      </c>
      <c r="Q442" s="4" t="str">
        <f t="shared" si="373"/>
        <v>1+6670,47032186341i</v>
      </c>
      <c r="R442" s="4">
        <f t="shared" si="384"/>
        <v>6670.47039682064</v>
      </c>
      <c r="S442" s="4">
        <f t="shared" si="385"/>
        <v>1.57064641232946</v>
      </c>
      <c r="T442" s="4" t="str">
        <f t="shared" si="374"/>
        <v>1+17,1208738261161i</v>
      </c>
      <c r="U442" s="4">
        <f t="shared" si="386"/>
        <v>17.1500530777542</v>
      </c>
      <c r="V442" s="4">
        <f t="shared" si="387"/>
        <v>1.51245437776464</v>
      </c>
      <c r="W442" t="str">
        <f t="shared" si="375"/>
        <v>1-16,3783869510039i</v>
      </c>
      <c r="X442" s="4">
        <f t="shared" si="388"/>
        <v>16.4088865897968</v>
      </c>
      <c r="Y442" s="4">
        <f t="shared" si="389"/>
        <v>-1.5098159530705</v>
      </c>
      <c r="Z442" t="str">
        <f t="shared" si="376"/>
        <v>0,753473328946772+3,39266586842224i</v>
      </c>
      <c r="AA442" s="4">
        <f t="shared" si="390"/>
        <v>3.4753278625464</v>
      </c>
      <c r="AB442" s="4">
        <f t="shared" si="391"/>
        <v>1.35225446134895</v>
      </c>
      <c r="AC442" s="67" t="str">
        <f t="shared" si="392"/>
        <v>-1,9379686744789-0,436075045063113i</v>
      </c>
      <c r="AD442" s="68">
        <f t="shared" si="393"/>
        <v>5.96144316937964</v>
      </c>
      <c r="AE442" s="31">
        <f t="shared" si="394"/>
        <v>-167.318713397336</v>
      </c>
      <c r="AF442" s="32" t="str">
        <f t="shared" si="395"/>
        <v>748,315388573934</v>
      </c>
      <c r="AG442" s="32" t="str">
        <f t="shared" si="377"/>
        <v>1+5435,19804003685i</v>
      </c>
      <c r="AH442" s="32">
        <f t="shared" si="396"/>
        <v>5435.19813202982</v>
      </c>
      <c r="AI442" s="32">
        <f t="shared" si="397"/>
        <v>1.57061234086074</v>
      </c>
      <c r="AJ442" s="32" t="str">
        <f t="shared" si="378"/>
        <v>1+17,1208738261161i</v>
      </c>
      <c r="AK442" s="32">
        <f t="shared" si="398"/>
        <v>17.1500530777542</v>
      </c>
      <c r="AL442" s="32">
        <f t="shared" si="399"/>
        <v>1.51245437776464</v>
      </c>
      <c r="AM442" s="32" t="str">
        <f t="shared" si="379"/>
        <v>1-2,9182053580317i</v>
      </c>
      <c r="AN442" s="32">
        <f t="shared" si="400"/>
        <v>3.0847888925573</v>
      </c>
      <c r="AO442" s="32">
        <f t="shared" si="401"/>
        <v>-1.24066074479901</v>
      </c>
      <c r="AP442" s="30" t="str">
        <f t="shared" si="402"/>
        <v>1,95670726057586-7,01609412651317i</v>
      </c>
      <c r="AQ442" s="32">
        <f t="shared" si="403"/>
        <v>17.2472042588026</v>
      </c>
      <c r="AR442" s="31">
        <f t="shared" si="404"/>
        <v>-74.4168303150249</v>
      </c>
      <c r="AS442" t="str">
        <f t="shared" si="380"/>
        <v>-0,0000504684572142411</v>
      </c>
      <c r="AT442" t="str">
        <f t="shared" si="381"/>
        <v>0,245348236526039i</v>
      </c>
      <c r="AU442">
        <f t="shared" si="405"/>
        <v>0.245348236526039</v>
      </c>
      <c r="AV442">
        <f t="shared" si="406"/>
        <v>1.5707963267949</v>
      </c>
      <c r="AW442" t="str">
        <f t="shared" si="382"/>
        <v>1+12,5613796968833i</v>
      </c>
      <c r="AX442">
        <f t="shared" si="407"/>
        <v>12.6011213742774</v>
      </c>
      <c r="AY442">
        <f t="shared" si="408"/>
        <v>1.4913547777582</v>
      </c>
      <c r="AZ442" t="str">
        <f t="shared" si="383"/>
        <v>1+600,540854870142i</v>
      </c>
      <c r="BA442">
        <f t="shared" si="409"/>
        <v>600.541687452387</v>
      </c>
      <c r="BB442">
        <f t="shared" si="410"/>
        <v>1.56913116268885</v>
      </c>
      <c r="BC442" s="30" t="str">
        <f t="shared" si="411"/>
        <v>-0,000761694579305386+0,00977363614820095i</v>
      </c>
      <c r="BD442" s="32">
        <f t="shared" si="412"/>
        <v>-40.172578933793</v>
      </c>
      <c r="BE442" s="31">
        <f t="shared" si="413"/>
        <v>94.4562586023113</v>
      </c>
      <c r="BF442" s="30" t="str">
        <f t="shared" si="414"/>
        <v>0,00573817905797142-0,0186088446929731i</v>
      </c>
      <c r="BG442" s="68">
        <f t="shared" si="415"/>
        <v>-34.2111357644134</v>
      </c>
      <c r="BH442" s="31">
        <f t="shared" si="416"/>
        <v>-72.8624547950251</v>
      </c>
      <c r="BI442" s="30" t="str">
        <f t="shared" si="423"/>
        <v>0,0670823378604014+0,0244682656774729i</v>
      </c>
      <c r="BJ442" s="68">
        <f t="shared" si="417"/>
        <v>-22.9253746749904</v>
      </c>
      <c r="BK442" s="31">
        <f t="shared" si="424"/>
        <v>20.0394282872863</v>
      </c>
      <c r="BL442" s="32">
        <f t="shared" si="418"/>
        <v>-34.2111357644134</v>
      </c>
      <c r="BM442" s="31">
        <f t="shared" si="419"/>
        <v>-72.8624547950251</v>
      </c>
      <c r="BO442">
        <f t="shared" si="420"/>
        <v>0</v>
      </c>
      <c r="BP442">
        <f t="shared" si="421"/>
        <v>0</v>
      </c>
    </row>
    <row r="443" spans="14:68">
      <c r="N443" s="7">
        <v>25</v>
      </c>
      <c r="O443" s="18">
        <f t="shared" si="422"/>
        <v>177827.941003893</v>
      </c>
      <c r="P443" s="86" t="str">
        <f t="shared" si="372"/>
        <v>163,636363636364</v>
      </c>
      <c r="Q443" s="4" t="str">
        <f t="shared" si="373"/>
        <v>1+6825,8455355796i</v>
      </c>
      <c r="R443" s="4">
        <f t="shared" si="384"/>
        <v>6825.8456088306</v>
      </c>
      <c r="S443" s="4">
        <f t="shared" si="385"/>
        <v>1.57064982479926</v>
      </c>
      <c r="T443" s="4" t="str">
        <f t="shared" si="374"/>
        <v>1+17,5196702079876i</v>
      </c>
      <c r="U443" s="4">
        <f t="shared" si="386"/>
        <v>17.548186350636</v>
      </c>
      <c r="V443" s="4">
        <f t="shared" si="387"/>
        <v>1.51377949294855</v>
      </c>
      <c r="W443" t="str">
        <f t="shared" si="375"/>
        <v>1-16,7598885918249i</v>
      </c>
      <c r="X443" s="4">
        <f t="shared" si="388"/>
        <v>16.7896952208902</v>
      </c>
      <c r="Y443" s="4">
        <f t="shared" si="389"/>
        <v>-1.5112007134306</v>
      </c>
      <c r="Z443" t="str">
        <f t="shared" si="376"/>
        <v>0,74185488488421+3,47169120830659i</v>
      </c>
      <c r="AA443" s="4">
        <f t="shared" si="390"/>
        <v>3.55006880441208</v>
      </c>
      <c r="AB443" s="4">
        <f t="shared" si="391"/>
        <v>1.36027560163122</v>
      </c>
      <c r="AC443" s="67" t="str">
        <f t="shared" si="392"/>
        <v>-1,94451526537494-0,421061986231422i</v>
      </c>
      <c r="AD443" s="68">
        <f t="shared" si="393"/>
        <v>5.97523278058645</v>
      </c>
      <c r="AE443" s="31">
        <f t="shared" si="394"/>
        <v>-167.781903819374</v>
      </c>
      <c r="AF443" s="32" t="str">
        <f t="shared" si="395"/>
        <v>748,315388573934</v>
      </c>
      <c r="AG443" s="32" t="str">
        <f t="shared" si="377"/>
        <v>1+5561,80006602782i</v>
      </c>
      <c r="AH443" s="32">
        <f t="shared" si="396"/>
        <v>5561.80015592677</v>
      </c>
      <c r="AI443" s="32">
        <f t="shared" si="397"/>
        <v>1.57061652889182</v>
      </c>
      <c r="AJ443" s="32" t="str">
        <f t="shared" si="378"/>
        <v>1+17,5196702079876i</v>
      </c>
      <c r="AK443" s="32">
        <f t="shared" si="398"/>
        <v>17.548186350636</v>
      </c>
      <c r="AL443" s="32">
        <f t="shared" si="399"/>
        <v>1.51377949294855</v>
      </c>
      <c r="AM443" s="32" t="str">
        <f t="shared" si="379"/>
        <v>1-2,98617909291i</v>
      </c>
      <c r="AN443" s="32">
        <f t="shared" si="400"/>
        <v>3.14916902927309</v>
      </c>
      <c r="AO443" s="32">
        <f t="shared" si="401"/>
        <v>-1.24765792819688</v>
      </c>
      <c r="AP443" s="30" t="str">
        <f t="shared" si="402"/>
        <v>1,95670612347002-7,17319559752274i</v>
      </c>
      <c r="AQ443" s="32">
        <f t="shared" si="403"/>
        <v>17.4259501143281</v>
      </c>
      <c r="AR443" s="31">
        <f t="shared" si="404"/>
        <v>-74.7420558413</v>
      </c>
      <c r="AS443" t="str">
        <f t="shared" si="380"/>
        <v>-0,0000504684572142411</v>
      </c>
      <c r="AT443" t="str">
        <f t="shared" si="381"/>
        <v>0,251063131105537i</v>
      </c>
      <c r="AU443">
        <f t="shared" si="405"/>
        <v>0.251063131105537</v>
      </c>
      <c r="AV443">
        <f t="shared" si="406"/>
        <v>1.5707963267949</v>
      </c>
      <c r="AW443" t="str">
        <f t="shared" si="382"/>
        <v>1+12,8539718171985i</v>
      </c>
      <c r="AX443">
        <f t="shared" si="407"/>
        <v>12.8928116203307</v>
      </c>
      <c r="AY443">
        <f t="shared" si="408"/>
        <v>1.4931557458942</v>
      </c>
      <c r="AZ443" t="str">
        <f t="shared" si="383"/>
        <v>1+614,529248366912i</v>
      </c>
      <c r="BA443">
        <f t="shared" si="409"/>
        <v>614.530061997297</v>
      </c>
      <c r="BB443">
        <f t="shared" si="410"/>
        <v>1.56916906638378</v>
      </c>
      <c r="BC443" s="30" t="str">
        <f t="shared" si="411"/>
        <v>-0,000727618914506326+0,00955381201141457i</v>
      </c>
      <c r="BD443" s="32">
        <f t="shared" si="412"/>
        <v>-40.3713483241595</v>
      </c>
      <c r="BE443" s="31">
        <f t="shared" si="413"/>
        <v>94.3552424508283</v>
      </c>
      <c r="BF443" s="30" t="str">
        <f t="shared" si="414"/>
        <v>0,00543761314824093-0,0182711606333565i</v>
      </c>
      <c r="BG443" s="68">
        <f t="shared" si="415"/>
        <v>-34.3961155435731</v>
      </c>
      <c r="BH443" s="31">
        <f t="shared" si="416"/>
        <v>-73.4266613685458</v>
      </c>
      <c r="BI443" s="30" t="str">
        <f t="shared" si="423"/>
        <v>0,0671076258742717+0,0239133552594274i</v>
      </c>
      <c r="BJ443" s="68">
        <f t="shared" si="417"/>
        <v>-22.9453982098314</v>
      </c>
      <c r="BK443" s="31">
        <f t="shared" si="424"/>
        <v>19.6131866095283</v>
      </c>
      <c r="BL443" s="32">
        <f t="shared" si="418"/>
        <v>-34.3961155435731</v>
      </c>
      <c r="BM443" s="31">
        <f t="shared" si="419"/>
        <v>-73.4266613685458</v>
      </c>
      <c r="BO443">
        <f t="shared" si="420"/>
        <v>0</v>
      </c>
      <c r="BP443">
        <f t="shared" si="421"/>
        <v>0</v>
      </c>
    </row>
    <row r="444" spans="14:68">
      <c r="N444" s="7">
        <v>26</v>
      </c>
      <c r="O444" s="18">
        <f t="shared" si="422"/>
        <v>181970.085860999</v>
      </c>
      <c r="P444" s="86" t="str">
        <f t="shared" si="372"/>
        <v>163,636363636364</v>
      </c>
      <c r="Q444" s="4" t="str">
        <f t="shared" si="373"/>
        <v>1+6984,83990294949i</v>
      </c>
      <c r="R444" s="4">
        <f t="shared" si="384"/>
        <v>6984.83997453309</v>
      </c>
      <c r="S444" s="4">
        <f t="shared" si="385"/>
        <v>1.57065315959177</v>
      </c>
      <c r="T444" s="4" t="str">
        <f t="shared" si="374"/>
        <v>1+17,9277557509037i</v>
      </c>
      <c r="U444" s="4">
        <f t="shared" si="386"/>
        <v>17.9556238060408</v>
      </c>
      <c r="V444" s="4">
        <f t="shared" si="387"/>
        <v>1.51507463855139</v>
      </c>
      <c r="W444" t="str">
        <f t="shared" si="375"/>
        <v>1-17,1502765474206i</v>
      </c>
      <c r="X444" s="4">
        <f t="shared" si="388"/>
        <v>17.1794058585565</v>
      </c>
      <c r="Y444" s="4">
        <f t="shared" si="389"/>
        <v>-1.51255417394513</v>
      </c>
      <c r="Z444" t="str">
        <f t="shared" si="376"/>
        <v>0,72968888042237+3,55255728482284i</v>
      </c>
      <c r="AA444" s="4">
        <f t="shared" si="390"/>
        <v>3.62672153937408</v>
      </c>
      <c r="AB444" s="4">
        <f t="shared" si="391"/>
        <v>1.36821561696509</v>
      </c>
      <c r="AC444" s="67" t="str">
        <f t="shared" si="392"/>
        <v>-1,95076723379471-0,406102402431415i</v>
      </c>
      <c r="AD444" s="68">
        <f t="shared" si="393"/>
        <v>5.98835570595421</v>
      </c>
      <c r="AE444" s="31">
        <f t="shared" si="394"/>
        <v>-168.240365455133</v>
      </c>
      <c r="AF444" s="32" t="str">
        <f t="shared" si="395"/>
        <v>748,315388573934</v>
      </c>
      <c r="AG444" s="32" t="str">
        <f t="shared" si="377"/>
        <v>1+5691,35103203291i</v>
      </c>
      <c r="AH444" s="32">
        <f t="shared" si="396"/>
        <v>5691.35111988551</v>
      </c>
      <c r="AI444" s="32">
        <f t="shared" si="397"/>
        <v>1.57062062159167</v>
      </c>
      <c r="AJ444" s="32" t="str">
        <f t="shared" si="378"/>
        <v>1+17,9277557509037i</v>
      </c>
      <c r="AK444" s="32">
        <f t="shared" si="398"/>
        <v>17.9556238060408</v>
      </c>
      <c r="AL444" s="32">
        <f t="shared" si="399"/>
        <v>1.51507463855139</v>
      </c>
      <c r="AM444" s="32" t="str">
        <f t="shared" si="379"/>
        <v>1-3,05573613947011i</v>
      </c>
      <c r="AN444" s="32">
        <f t="shared" si="400"/>
        <v>3.21520191497574</v>
      </c>
      <c r="AO444" s="32">
        <f t="shared" si="401"/>
        <v>-1.25452766859463</v>
      </c>
      <c r="AP444" s="30" t="str">
        <f t="shared" si="402"/>
        <v>1,95670503754239-7,33410039176819i</v>
      </c>
      <c r="AQ444" s="32">
        <f t="shared" si="403"/>
        <v>17.6055609257026</v>
      </c>
      <c r="AR444" s="31">
        <f t="shared" si="404"/>
        <v>-75.0616910899725</v>
      </c>
      <c r="AS444" t="str">
        <f t="shared" si="380"/>
        <v>-0,0000504684572142411</v>
      </c>
      <c r="AT444" t="str">
        <f t="shared" si="381"/>
        <v>0,25691114268036i</v>
      </c>
      <c r="AU444">
        <f t="shared" si="405"/>
        <v>0.25691114268036</v>
      </c>
      <c r="AV444">
        <f t="shared" si="406"/>
        <v>1.5707963267949</v>
      </c>
      <c r="AW444" t="str">
        <f t="shared" si="382"/>
        <v>1+13,1533792835135i</v>
      </c>
      <c r="AX444">
        <f t="shared" si="407"/>
        <v>13.19133755826</v>
      </c>
      <c r="AY444">
        <f t="shared" si="408"/>
        <v>1.49491620677683</v>
      </c>
      <c r="AZ444" t="str">
        <f t="shared" si="383"/>
        <v>1+628,843473405421i</v>
      </c>
      <c r="BA444">
        <f t="shared" si="409"/>
        <v>628.844268515341</v>
      </c>
      <c r="BB444">
        <f t="shared" si="410"/>
        <v>1.56920610728979</v>
      </c>
      <c r="BC444" s="30" t="str">
        <f t="shared" si="411"/>
        <v>-0,000695058864795585+0,00933881611284565i</v>
      </c>
      <c r="BD444" s="32">
        <f t="shared" si="412"/>
        <v>-40.5701727751915</v>
      </c>
      <c r="BE444" s="31">
        <f t="shared" si="413"/>
        <v>94.2564977598393</v>
      </c>
      <c r="BF444" s="30" t="str">
        <f t="shared" si="414"/>
        <v>0,0051484137182936-0,0179355914005486i</v>
      </c>
      <c r="BG444" s="68">
        <f t="shared" si="415"/>
        <v>-34.5818170692373</v>
      </c>
      <c r="BH444" s="31">
        <f t="shared" si="416"/>
        <v>-73.9838676952936</v>
      </c>
      <c r="BI444" s="30" t="str">
        <f t="shared" si="423"/>
        <v>0,0671317897297383+0,0233709400252864i</v>
      </c>
      <c r="BJ444" s="68">
        <f t="shared" si="417"/>
        <v>-22.9646118494889</v>
      </c>
      <c r="BK444" s="31">
        <f t="shared" si="424"/>
        <v>19.1948066698668</v>
      </c>
      <c r="BL444" s="32">
        <f t="shared" si="418"/>
        <v>-34.5818170692373</v>
      </c>
      <c r="BM444" s="31">
        <f t="shared" si="419"/>
        <v>-73.9838676952936</v>
      </c>
      <c r="BO444">
        <f t="shared" si="420"/>
        <v>0</v>
      </c>
      <c r="BP444">
        <f t="shared" si="421"/>
        <v>0</v>
      </c>
    </row>
    <row r="445" spans="14:68">
      <c r="N445" s="7">
        <v>27</v>
      </c>
      <c r="O445" s="18">
        <f t="shared" si="422"/>
        <v>186208.713666287</v>
      </c>
      <c r="P445" s="86" t="str">
        <f t="shared" si="372"/>
        <v>163,636363636364</v>
      </c>
      <c r="Q445" s="4" t="str">
        <f t="shared" si="373"/>
        <v>1+7147,53772489119i</v>
      </c>
      <c r="R445" s="4">
        <f t="shared" si="384"/>
        <v>7147.53779484535</v>
      </c>
      <c r="S445" s="4">
        <f t="shared" si="385"/>
        <v>1.57065641847514</v>
      </c>
      <c r="T445" s="4" t="str">
        <f t="shared" si="374"/>
        <v>1+18,3453468272207i</v>
      </c>
      <c r="U445" s="4">
        <f t="shared" si="386"/>
        <v>18.3725814792319</v>
      </c>
      <c r="V445" s="4">
        <f t="shared" si="387"/>
        <v>1.51634048388681</v>
      </c>
      <c r="W445" t="str">
        <f t="shared" si="375"/>
        <v>1-17,5497578066525i</v>
      </c>
      <c r="X445" s="4">
        <f t="shared" si="388"/>
        <v>17.5782251399895</v>
      </c>
      <c r="Y445" s="4">
        <f t="shared" si="389"/>
        <v>-1.5138770323908</v>
      </c>
      <c r="Z445" t="str">
        <f t="shared" si="376"/>
        <v>0,716949509834664+3,63530697423515i</v>
      </c>
      <c r="AA445" s="4">
        <f t="shared" si="390"/>
        <v>3.70533040315906</v>
      </c>
      <c r="AB445" s="4">
        <f t="shared" si="391"/>
        <v>1.37607678494972</v>
      </c>
      <c r="AC445" s="67" t="str">
        <f t="shared" si="392"/>
        <v>-1,9567316254921-0,391198467767577i</v>
      </c>
      <c r="AD445" s="68">
        <f t="shared" si="393"/>
        <v>6.00083248280556</v>
      </c>
      <c r="AE445" s="31">
        <f t="shared" si="394"/>
        <v>-168.694230533553</v>
      </c>
      <c r="AF445" s="32" t="str">
        <f t="shared" si="395"/>
        <v>748,315388573934</v>
      </c>
      <c r="AG445" s="32" t="str">
        <f t="shared" si="377"/>
        <v>1+5823,91962768911i</v>
      </c>
      <c r="AH445" s="32">
        <f t="shared" si="396"/>
        <v>5823.91971354194</v>
      </c>
      <c r="AI445" s="32">
        <f t="shared" si="397"/>
        <v>1.57062462113031</v>
      </c>
      <c r="AJ445" s="32" t="str">
        <f t="shared" si="378"/>
        <v>1+18,3453468272207i</v>
      </c>
      <c r="AK445" s="32">
        <f t="shared" si="398"/>
        <v>18.3725814792319</v>
      </c>
      <c r="AL445" s="32">
        <f t="shared" si="399"/>
        <v>1.51634048388681</v>
      </c>
      <c r="AM445" s="32" t="str">
        <f t="shared" si="379"/>
        <v>1-3,1269133777788i</v>
      </c>
      <c r="AN445" s="32">
        <f t="shared" si="400"/>
        <v>3.28292358609396</v>
      </c>
      <c r="AO445" s="32">
        <f t="shared" si="401"/>
        <v>-1.26127101389434</v>
      </c>
      <c r="AP445" s="30" t="str">
        <f t="shared" si="402"/>
        <v>1,95670400048954-7,49889382310242i</v>
      </c>
      <c r="AQ445" s="32">
        <f t="shared" si="403"/>
        <v>17.7860050632505</v>
      </c>
      <c r="AR445" s="31">
        <f t="shared" si="404"/>
        <v>-75.3757578768931</v>
      </c>
      <c r="AS445" t="str">
        <f t="shared" si="380"/>
        <v>-0,0000504684572142411</v>
      </c>
      <c r="AT445" t="str">
        <f t="shared" si="381"/>
        <v>0,262895371943653i</v>
      </c>
      <c r="AU445">
        <f t="shared" si="405"/>
        <v>0.262895371943653</v>
      </c>
      <c r="AV445">
        <f t="shared" si="406"/>
        <v>1.5707963267949</v>
      </c>
      <c r="AW445" t="str">
        <f t="shared" si="382"/>
        <v>1+13,4597608456302i</v>
      </c>
      <c r="AX445">
        <f t="shared" si="407"/>
        <v>13.4968574868952</v>
      </c>
      <c r="AY445">
        <f t="shared" si="408"/>
        <v>1.49663705015289</v>
      </c>
      <c r="AZ445" t="str">
        <f t="shared" si="383"/>
        <v>1+643,491119577256i</v>
      </c>
      <c r="BA445">
        <f t="shared" si="409"/>
        <v>643.491896588287</v>
      </c>
      <c r="BB445">
        <f t="shared" si="410"/>
        <v>1.56924230504606</v>
      </c>
      <c r="BC445" s="30" t="str">
        <f t="shared" si="411"/>
        <v>-0,000663947790416041+0,00912855011874269i</v>
      </c>
      <c r="BD445" s="32">
        <f t="shared" si="412"/>
        <v>-40.7690498372647</v>
      </c>
      <c r="BE445" s="31">
        <f t="shared" si="413"/>
        <v>94.1599746758505</v>
      </c>
      <c r="BF445" s="30" t="str">
        <f t="shared" si="414"/>
        <v>0,00487024245857434-0,0176023873539451i</v>
      </c>
      <c r="BG445" s="68">
        <f t="shared" si="415"/>
        <v>-34.7682173544591</v>
      </c>
      <c r="BH445" s="31">
        <f t="shared" si="416"/>
        <v>-74.5342558577026</v>
      </c>
      <c r="BI445" s="30" t="str">
        <f t="shared" si="423"/>
        <v>0,0671548788016972+0,0228407445204264i</v>
      </c>
      <c r="BJ445" s="68">
        <f t="shared" si="417"/>
        <v>-22.9830447740142</v>
      </c>
      <c r="BK445" s="31">
        <f t="shared" si="424"/>
        <v>18.7842167989573</v>
      </c>
      <c r="BL445" s="32">
        <f t="shared" si="418"/>
        <v>-34.7682173544591</v>
      </c>
      <c r="BM445" s="31">
        <f t="shared" si="419"/>
        <v>-74.5342558577026</v>
      </c>
      <c r="BO445">
        <f t="shared" si="420"/>
        <v>0</v>
      </c>
      <c r="BP445">
        <f t="shared" si="421"/>
        <v>0</v>
      </c>
    </row>
    <row r="446" spans="14:68">
      <c r="N446" s="7">
        <v>28</v>
      </c>
      <c r="O446" s="18">
        <f t="shared" si="422"/>
        <v>190546.071796325</v>
      </c>
      <c r="P446" s="86" t="str">
        <f t="shared" si="372"/>
        <v>163,636363636364</v>
      </c>
      <c r="Q446" s="4" t="str">
        <f t="shared" si="373"/>
        <v>1+7314,02526594347i</v>
      </c>
      <c r="R446" s="4">
        <f t="shared" si="384"/>
        <v>7314.02533430528</v>
      </c>
      <c r="S446" s="4">
        <f t="shared" si="385"/>
        <v>1.57065960317727</v>
      </c>
      <c r="T446" s="4" t="str">
        <f t="shared" si="374"/>
        <v>1+18,7726648492549i</v>
      </c>
      <c r="U446" s="4">
        <f t="shared" si="386"/>
        <v>18.7992804527846</v>
      </c>
      <c r="V446" s="4">
        <f t="shared" si="387"/>
        <v>1.51757768388682</v>
      </c>
      <c r="W446" t="str">
        <f t="shared" si="375"/>
        <v>1-17,9585441797719i</v>
      </c>
      <c r="X446" s="4">
        <f t="shared" si="388"/>
        <v>17.9863645314115</v>
      </c>
      <c r="Y446" s="4">
        <f t="shared" si="389"/>
        <v>-1.51516997163466</v>
      </c>
      <c r="Z446" t="str">
        <f t="shared" si="376"/>
        <v>0,703609751208075+3,71998415152418i</v>
      </c>
      <c r="AA446" s="4">
        <f t="shared" si="390"/>
        <v>3.78594093582905</v>
      </c>
      <c r="AB446" s="4">
        <f t="shared" si="391"/>
        <v>1.38386144561157</v>
      </c>
      <c r="AC446" s="67" t="str">
        <f t="shared" si="392"/>
        <v>-1,96241534984484-0,37635191799501i</v>
      </c>
      <c r="AD446" s="68">
        <f t="shared" si="393"/>
        <v>6.01268286504243</v>
      </c>
      <c r="AE446" s="31">
        <f t="shared" si="394"/>
        <v>-169.143634827836</v>
      </c>
      <c r="AF446" s="32" t="str">
        <f t="shared" si="395"/>
        <v>748,315388573934</v>
      </c>
      <c r="AG446" s="32" t="str">
        <f t="shared" si="377"/>
        <v>1+5959,57614262061i</v>
      </c>
      <c r="AH446" s="32">
        <f t="shared" si="396"/>
        <v>5959.57622651919</v>
      </c>
      <c r="AI446" s="32">
        <f t="shared" si="397"/>
        <v>1.57062852962834</v>
      </c>
      <c r="AJ446" s="32" t="str">
        <f t="shared" si="378"/>
        <v>1+18,7726648492549i</v>
      </c>
      <c r="AK446" s="32">
        <f t="shared" si="398"/>
        <v>18.7992804527846</v>
      </c>
      <c r="AL446" s="32">
        <f t="shared" si="399"/>
        <v>1.51757768388682</v>
      </c>
      <c r="AM446" s="32" t="str">
        <f t="shared" si="379"/>
        <v>1-3,19974854694999i</v>
      </c>
      <c r="AN446" s="32">
        <f t="shared" si="400"/>
        <v>3.3523709167854</v>
      </c>
      <c r="AO446" s="32">
        <f t="shared" si="401"/>
        <v>-1.2678890855505</v>
      </c>
      <c r="AP446" s="30" t="str">
        <f t="shared" si="402"/>
        <v>1,95670301011174-7,66766326718523i</v>
      </c>
      <c r="AQ446" s="32">
        <f t="shared" si="403"/>
        <v>17.9672517681208</v>
      </c>
      <c r="AR446" s="31">
        <f t="shared" si="404"/>
        <v>-75.6842830533339</v>
      </c>
      <c r="AS446" t="str">
        <f t="shared" si="380"/>
        <v>-0,0000504684572142411</v>
      </c>
      <c r="AT446" t="str">
        <f t="shared" si="381"/>
        <v>0,269018991812982i</v>
      </c>
      <c r="AU446">
        <f t="shared" si="405"/>
        <v>0.269018991812982</v>
      </c>
      <c r="AV446">
        <f t="shared" si="406"/>
        <v>1.5707963267949</v>
      </c>
      <c r="AW446" t="str">
        <f t="shared" si="382"/>
        <v>1+13,7732789511083i</v>
      </c>
      <c r="AX446">
        <f t="shared" si="407"/>
        <v>13.809533412286</v>
      </c>
      <c r="AY446">
        <f t="shared" si="408"/>
        <v>1.49831914764599</v>
      </c>
      <c r="AZ446" t="str">
        <f t="shared" si="383"/>
        <v>1+658,479953258302i</v>
      </c>
      <c r="BA446">
        <f t="shared" si="409"/>
        <v>658.480712582423</v>
      </c>
      <c r="BB446">
        <f t="shared" si="410"/>
        <v>1.56927767884474</v>
      </c>
      <c r="BC446" s="30" t="str">
        <f t="shared" si="411"/>
        <v>-0,000634221914099283+0,00892291717739833i</v>
      </c>
      <c r="BD446" s="32">
        <f t="shared" si="412"/>
        <v>-40.9679771685178</v>
      </c>
      <c r="BE446" s="31">
        <f t="shared" si="413"/>
        <v>94.0656243581359</v>
      </c>
      <c r="BF446" s="30" t="str">
        <f t="shared" si="414"/>
        <v>0,00460276381326089-0,0172717790005149i</v>
      </c>
      <c r="BG446" s="68">
        <f t="shared" si="415"/>
        <v>-34.9552943034754</v>
      </c>
      <c r="BH446" s="31">
        <f t="shared" si="416"/>
        <v>-75.0780104696995</v>
      </c>
      <c r="BI446" s="30" t="str">
        <f t="shared" si="423"/>
        <v>0,0671769403488764+0,022322498973976i</v>
      </c>
      <c r="BJ446" s="68">
        <f t="shared" si="417"/>
        <v>-23.000725400397</v>
      </c>
      <c r="BK446" s="31">
        <f t="shared" si="424"/>
        <v>18.381341304802</v>
      </c>
      <c r="BL446" s="32">
        <f t="shared" si="418"/>
        <v>-34.9552943034754</v>
      </c>
      <c r="BM446" s="31">
        <f t="shared" si="419"/>
        <v>-75.0780104696995</v>
      </c>
      <c r="BO446">
        <f t="shared" si="420"/>
        <v>0</v>
      </c>
      <c r="BP446">
        <f t="shared" si="421"/>
        <v>0</v>
      </c>
    </row>
    <row r="447" spans="14:68">
      <c r="N447" s="7">
        <v>29</v>
      </c>
      <c r="O447" s="18">
        <f t="shared" si="422"/>
        <v>194984.459975805</v>
      </c>
      <c r="P447" s="86" t="str">
        <f t="shared" si="372"/>
        <v>163,636363636364</v>
      </c>
      <c r="Q447" s="4" t="str">
        <f t="shared" si="373"/>
        <v>1+7484,39080000429i</v>
      </c>
      <c r="R447" s="4">
        <f t="shared" si="384"/>
        <v>7484.39086680999</v>
      </c>
      <c r="S447" s="4">
        <f t="shared" si="385"/>
        <v>1.57066271538673</v>
      </c>
      <c r="T447" s="4" t="str">
        <f t="shared" si="374"/>
        <v>1+19,2099363866777i</v>
      </c>
      <c r="U447" s="4">
        <f t="shared" si="386"/>
        <v>19.2359469738353</v>
      </c>
      <c r="V447" s="4">
        <f t="shared" si="387"/>
        <v>1.51878687937274</v>
      </c>
      <c r="W447" t="str">
        <f t="shared" si="375"/>
        <v>1-18,3768524107248i</v>
      </c>
      <c r="X447" s="4">
        <f t="shared" si="388"/>
        <v>18.4040404402284</v>
      </c>
      <c r="Y447" s="4">
        <f t="shared" si="389"/>
        <v>-1.51643365990926</v>
      </c>
      <c r="Z447" t="str">
        <f t="shared" si="376"/>
        <v>0,689641309126072+3,80663371365014i</v>
      </c>
      <c r="AA447" s="4">
        <f t="shared" si="390"/>
        <v>3.86859992311831</v>
      </c>
      <c r="AB447" s="4">
        <f t="shared" si="391"/>
        <v>1.39157199707196</v>
      </c>
      <c r="AC447" s="67" t="str">
        <f t="shared" si="392"/>
        <v>-1,96782516280808-0,361564069871821i</v>
      </c>
      <c r="AD447" s="68">
        <f t="shared" si="393"/>
        <v>6.02392582157747</v>
      </c>
      <c r="AE447" s="31">
        <f t="shared" si="394"/>
        <v>-169.588717407507</v>
      </c>
      <c r="AF447" s="32" t="str">
        <f t="shared" si="395"/>
        <v>748,315388573934</v>
      </c>
      <c r="AG447" s="32" t="str">
        <f t="shared" si="377"/>
        <v>1+6098,3925037072i</v>
      </c>
      <c r="AH447" s="32">
        <f t="shared" si="396"/>
        <v>6098.39258569602</v>
      </c>
      <c r="AI447" s="32">
        <f t="shared" si="397"/>
        <v>1.5706323491581</v>
      </c>
      <c r="AJ447" s="32" t="str">
        <f t="shared" si="378"/>
        <v>1+19,2099363866777i</v>
      </c>
      <c r="AK447" s="32">
        <f t="shared" si="398"/>
        <v>19.2359469738353</v>
      </c>
      <c r="AL447" s="32">
        <f t="shared" si="399"/>
        <v>1.51878687937274</v>
      </c>
      <c r="AM447" s="32" t="str">
        <f t="shared" si="379"/>
        <v>1-3,27428026515443i</v>
      </c>
      <c r="AN447" s="32">
        <f t="shared" si="400"/>
        <v>3.42358164131948</v>
      </c>
      <c r="AO447" s="32">
        <f t="shared" si="401"/>
        <v>-1.27438307281566</v>
      </c>
      <c r="AP447" s="30" t="str">
        <f t="shared" si="402"/>
        <v>1,95670206430829-7,84049820781084i</v>
      </c>
      <c r="AQ447" s="32">
        <f t="shared" si="403"/>
        <v>18.1492711515491</v>
      </c>
      <c r="AR447" s="31">
        <f t="shared" si="404"/>
        <v>-75.9872981608247</v>
      </c>
      <c r="AS447" t="str">
        <f t="shared" si="380"/>
        <v>-0,0000504684572142411</v>
      </c>
      <c r="AT447" t="str">
        <f t="shared" si="381"/>
        <v>0,275285249112658i</v>
      </c>
      <c r="AU447">
        <f t="shared" si="405"/>
        <v>0.275285249112658</v>
      </c>
      <c r="AV447">
        <f t="shared" si="406"/>
        <v>1.5707963267949</v>
      </c>
      <c r="AW447" t="str">
        <f t="shared" si="382"/>
        <v>1+14,094099831397i</v>
      </c>
      <c r="AX447">
        <f t="shared" si="407"/>
        <v>14.1295311336712</v>
      </c>
      <c r="AY447">
        <f t="shared" si="408"/>
        <v>1.49996335302983</v>
      </c>
      <c r="AZ447" t="str">
        <f t="shared" si="383"/>
        <v>1+673,817921726575i</v>
      </c>
      <c r="BA447">
        <f t="shared" si="409"/>
        <v>673.818663766388</v>
      </c>
      <c r="BB447">
        <f t="shared" si="410"/>
        <v>1.56931224744112</v>
      </c>
      <c r="BC447" s="30" t="str">
        <f t="shared" si="411"/>
        <v>-0,000605820204049712+0,00872182193417936i</v>
      </c>
      <c r="BD447" s="32">
        <f t="shared" si="412"/>
        <v>-41.1669525302186</v>
      </c>
      <c r="BE447" s="31">
        <f t="shared" si="413"/>
        <v>93.9733989636653</v>
      </c>
      <c r="BF447" s="30" t="str">
        <f t="shared" si="414"/>
        <v>0,00434564567688576-0,0169439778490228i</v>
      </c>
      <c r="BG447" s="68">
        <f t="shared" si="415"/>
        <v>-35.1430267086411</v>
      </c>
      <c r="BH447" s="31">
        <f t="shared" si="416"/>
        <v>-75.6153184438416</v>
      </c>
      <c r="BI447" s="30" t="str">
        <f t="shared" si="423"/>
        <v>0,0671980195999148+0,0218159392072454i</v>
      </c>
      <c r="BJ447" s="68">
        <f t="shared" si="417"/>
        <v>-23.0176813786694</v>
      </c>
      <c r="BK447" s="31">
        <f t="shared" si="424"/>
        <v>17.9861008028406</v>
      </c>
      <c r="BL447" s="32">
        <f t="shared" si="418"/>
        <v>-35.1430267086411</v>
      </c>
      <c r="BM447" s="31">
        <f t="shared" si="419"/>
        <v>-75.6153184438416</v>
      </c>
      <c r="BO447">
        <f t="shared" si="420"/>
        <v>0</v>
      </c>
      <c r="BP447">
        <f t="shared" si="421"/>
        <v>0</v>
      </c>
    </row>
    <row r="448" spans="14:68">
      <c r="N448" s="7">
        <v>30</v>
      </c>
      <c r="O448" s="18">
        <f t="shared" si="422"/>
        <v>199526.231496888</v>
      </c>
      <c r="P448" s="86" t="str">
        <f t="shared" si="372"/>
        <v>163,636363636364</v>
      </c>
      <c r="Q448" s="4" t="str">
        <f t="shared" si="373"/>
        <v>1+7658,72465713495i</v>
      </c>
      <c r="R448" s="4">
        <f t="shared" si="384"/>
        <v>7658.72472241997</v>
      </c>
      <c r="S448" s="4">
        <f t="shared" si="385"/>
        <v>1.57066575675366</v>
      </c>
      <c r="T448" s="4" t="str">
        <f t="shared" si="374"/>
        <v>1+19,6573932866464i</v>
      </c>
      <c r="U448" s="4">
        <f t="shared" si="386"/>
        <v>19.682812574068</v>
      </c>
      <c r="V448" s="4">
        <f t="shared" si="387"/>
        <v>1.51996869732376</v>
      </c>
      <c r="W448" t="str">
        <f t="shared" si="375"/>
        <v>1-18,8049042920724i</v>
      </c>
      <c r="X448" s="4">
        <f t="shared" si="388"/>
        <v>18.8314743298023</v>
      </c>
      <c r="Y448" s="4">
        <f t="shared" si="389"/>
        <v>-1.51766875108575</v>
      </c>
      <c r="Z448" t="str">
        <f t="shared" si="376"/>
        <v>0,675014554650205+3,89530160335785i</v>
      </c>
      <c r="AA448" s="4">
        <f t="shared" si="390"/>
        <v>3.95335543938461</v>
      </c>
      <c r="AB448" s="4">
        <f t="shared" si="391"/>
        <v>1.39921089142313</v>
      </c>
      <c r="AC448" s="67" t="str">
        <f t="shared" si="392"/>
        <v>-1,97296765139643-0,346835840523502i</v>
      </c>
      <c r="AD448" s="68">
        <f t="shared" si="393"/>
        <v>6.03457953615085</v>
      </c>
      <c r="AE448" s="31">
        <f t="shared" si="394"/>
        <v>-170.029620402444</v>
      </c>
      <c r="AF448" s="32" t="str">
        <f t="shared" si="395"/>
        <v>748,315388573934</v>
      </c>
      <c r="AG448" s="32" t="str">
        <f t="shared" si="377"/>
        <v>1+6240,44231322107i</v>
      </c>
      <c r="AH448" s="32">
        <f t="shared" si="396"/>
        <v>6240.4423933436</v>
      </c>
      <c r="AI448" s="32">
        <f t="shared" si="397"/>
        <v>1.57063608174475</v>
      </c>
      <c r="AJ448" s="32" t="str">
        <f t="shared" si="378"/>
        <v>1+19,6573932866464i</v>
      </c>
      <c r="AK448" s="32">
        <f t="shared" si="398"/>
        <v>19.682812574068</v>
      </c>
      <c r="AL448" s="32">
        <f t="shared" si="399"/>
        <v>1.51996869732376</v>
      </c>
      <c r="AM448" s="32" t="str">
        <f t="shared" si="379"/>
        <v>1-3,3505480500957i</v>
      </c>
      <c r="AN448" s="32">
        <f t="shared" si="400"/>
        <v>3.49659437681869</v>
      </c>
      <c r="AO448" s="32">
        <f t="shared" si="401"/>
        <v>-1.28075422718272</v>
      </c>
      <c r="AP448" s="30" t="str">
        <f t="shared" si="402"/>
        <v>1,956701161073-8,01749028435357i</v>
      </c>
      <c r="AQ448" s="32">
        <f t="shared" si="403"/>
        <v>18.3320341918756</v>
      </c>
      <c r="AR448" s="31">
        <f t="shared" si="404"/>
        <v>-76.2848390973984</v>
      </c>
      <c r="AS448" t="str">
        <f t="shared" si="380"/>
        <v>-0,0000504684572142411</v>
      </c>
      <c r="AT448" t="str">
        <f t="shared" si="381"/>
        <v>0,281697466295244i</v>
      </c>
      <c r="AU448">
        <f t="shared" si="405"/>
        <v>0.281697466295244</v>
      </c>
      <c r="AV448">
        <f t="shared" si="406"/>
        <v>1.5707963267949</v>
      </c>
      <c r="AW448" t="str">
        <f t="shared" si="382"/>
        <v>1+14,4223935899739i</v>
      </c>
      <c r="AX448">
        <f t="shared" si="407"/>
        <v>14.4570203314556</v>
      </c>
      <c r="AY448">
        <f t="shared" si="408"/>
        <v>1.50157050250424</v>
      </c>
      <c r="AZ448" t="str">
        <f t="shared" si="383"/>
        <v>1+689,513157375987i</v>
      </c>
      <c r="BA448">
        <f t="shared" si="409"/>
        <v>689.51388252493</v>
      </c>
      <c r="BB448">
        <f t="shared" si="410"/>
        <v>1.56934602916362</v>
      </c>
      <c r="BC448" s="30" t="str">
        <f t="shared" si="411"/>
        <v>-0,000578684261183241+0,00852517054314293i</v>
      </c>
      <c r="BD448" s="32">
        <f t="shared" si="412"/>
        <v>-41.3659737823201</v>
      </c>
      <c r="BE448" s="31">
        <f t="shared" si="413"/>
        <v>93.8832516318587</v>
      </c>
      <c r="BF448" s="30" t="str">
        <f t="shared" si="414"/>
        <v>0,00409856001862396-0,0166191772621335i</v>
      </c>
      <c r="BG448" s="68">
        <f t="shared" si="415"/>
        <v>-35.3313942461693</v>
      </c>
      <c r="BH448" s="31">
        <f t="shared" si="416"/>
        <v>-76.1463687705852</v>
      </c>
      <c r="BI448" s="30" t="str">
        <f t="shared" si="423"/>
        <v>0,0672181598363538+0,0213208065418581i</v>
      </c>
      <c r="BJ448" s="68">
        <f t="shared" si="417"/>
        <v>-23.0339395904445</v>
      </c>
      <c r="BK448" s="31">
        <f t="shared" si="424"/>
        <v>17.5984125344603</v>
      </c>
      <c r="BL448" s="32">
        <f t="shared" si="418"/>
        <v>-35.3313942461693</v>
      </c>
      <c r="BM448" s="31">
        <f t="shared" si="419"/>
        <v>-76.1463687705852</v>
      </c>
      <c r="BO448">
        <f t="shared" si="420"/>
        <v>0</v>
      </c>
      <c r="BP448">
        <f t="shared" si="421"/>
        <v>0</v>
      </c>
    </row>
    <row r="449" spans="14:68">
      <c r="N449" s="7">
        <v>31</v>
      </c>
      <c r="O449" s="18">
        <f t="shared" si="422"/>
        <v>204173.794466953</v>
      </c>
      <c r="P449" s="86" t="str">
        <f t="shared" si="372"/>
        <v>163,636363636364</v>
      </c>
      <c r="Q449" s="4" t="str">
        <f t="shared" si="373"/>
        <v>1+7837,11927145399i</v>
      </c>
      <c r="R449" s="4">
        <f t="shared" si="384"/>
        <v>7837.11933525294</v>
      </c>
      <c r="S449" s="4">
        <f t="shared" si="385"/>
        <v>1.57066872889062</v>
      </c>
      <c r="T449" s="4" t="str">
        <f t="shared" si="374"/>
        <v>1+20,1152727967319i</v>
      </c>
      <c r="U449" s="4">
        <f t="shared" si="386"/>
        <v>20.1401141925001</v>
      </c>
      <c r="V449" s="4">
        <f t="shared" si="387"/>
        <v>1.52112375114282</v>
      </c>
      <c r="W449" t="str">
        <f t="shared" si="375"/>
        <v>1-19,2429267825879i</v>
      </c>
      <c r="X449" s="4">
        <f t="shared" si="388"/>
        <v>19.2688928369027</v>
      </c>
      <c r="Y449" s="4">
        <f t="shared" si="389"/>
        <v>-1.5188758849447</v>
      </c>
      <c r="Z449" t="str">
        <f t="shared" si="376"/>
        <v>0,659698462473196+3,98603483353607i</v>
      </c>
      <c r="AA449" s="4">
        <f t="shared" si="390"/>
        <v>4.04025689227213</v>
      </c>
      <c r="AB449" s="4">
        <f t="shared" si="391"/>
        <v>1.40678063081032</v>
      </c>
      <c r="AC449" s="67" t="str">
        <f t="shared" si="392"/>
        <v>-1,97784921960696-0,332167766734082i</v>
      </c>
      <c r="AD449" s="68">
        <f t="shared" si="393"/>
        <v>6.04466140836211</v>
      </c>
      <c r="AE449" s="31">
        <f t="shared" si="394"/>
        <v>-170.466488778731</v>
      </c>
      <c r="AF449" s="32" t="str">
        <f t="shared" si="395"/>
        <v>748,315388573934</v>
      </c>
      <c r="AG449" s="32" t="str">
        <f t="shared" si="377"/>
        <v>1+6385,8008878514i</v>
      </c>
      <c r="AH449" s="32">
        <f t="shared" si="396"/>
        <v>6385.80096615011</v>
      </c>
      <c r="AI449" s="32">
        <f t="shared" si="397"/>
        <v>1.57063972936736</v>
      </c>
      <c r="AJ449" s="32" t="str">
        <f t="shared" si="378"/>
        <v>1+20,1152727967319i</v>
      </c>
      <c r="AK449" s="32">
        <f t="shared" si="398"/>
        <v>20.1401141925001</v>
      </c>
      <c r="AL449" s="32">
        <f t="shared" si="399"/>
        <v>1.52112375114282</v>
      </c>
      <c r="AM449" s="32" t="str">
        <f t="shared" si="379"/>
        <v>1-3,42859233996287i</v>
      </c>
      <c r="AN449" s="32">
        <f t="shared" si="400"/>
        <v>3.57144864636915</v>
      </c>
      <c r="AO449" s="32">
        <f t="shared" si="401"/>
        <v>-1.28700385703044</v>
      </c>
      <c r="AP449" s="30" t="str">
        <f t="shared" si="402"/>
        <v>1,95670029849-8,19873334035603i</v>
      </c>
      <c r="AQ449" s="32">
        <f t="shared" si="403"/>
        <v>18.5155127295082</v>
      </c>
      <c r="AR449" s="31">
        <f t="shared" si="404"/>
        <v>-76.5769457956303</v>
      </c>
      <c r="AS449" t="str">
        <f t="shared" si="380"/>
        <v>-0,0000504684572142411</v>
      </c>
      <c r="AT449" t="str">
        <f t="shared" si="381"/>
        <v>0,288259043203168i</v>
      </c>
      <c r="AU449">
        <f t="shared" si="405"/>
        <v>0.288259043203168</v>
      </c>
      <c r="AV449">
        <f t="shared" si="406"/>
        <v>1.5707963267949</v>
      </c>
      <c r="AW449" t="str">
        <f t="shared" si="382"/>
        <v>1+14,7583342925352i</v>
      </c>
      <c r="AX449">
        <f t="shared" si="407"/>
        <v>14.7921746572375</v>
      </c>
      <c r="AY449">
        <f t="shared" si="408"/>
        <v>1.50314141497324</v>
      </c>
      <c r="AZ449" t="str">
        <f t="shared" si="383"/>
        <v>1+705,573982028222i</v>
      </c>
      <c r="BA449">
        <f t="shared" si="409"/>
        <v>705.574690670776</v>
      </c>
      <c r="BB449">
        <f t="shared" si="410"/>
        <v>1.56937904192342</v>
      </c>
      <c r="BC449" s="30" t="str">
        <f t="shared" si="411"/>
        <v>-0,000552758210514858+0,00833287067550227i</v>
      </c>
      <c r="BD449" s="32">
        <f t="shared" si="412"/>
        <v>-41.5650388791998</v>
      </c>
      <c r="BE449" s="31">
        <f t="shared" si="413"/>
        <v>93.7951364692072</v>
      </c>
      <c r="BF449" s="30" t="str">
        <f t="shared" si="414"/>
        <v>0,00386118343806366-0,0162975533022972i</v>
      </c>
      <c r="BG449" s="68">
        <f t="shared" si="415"/>
        <v>-35.5203774708377</v>
      </c>
      <c r="BH449" s="31">
        <f t="shared" si="416"/>
        <v>-76.6713523095236</v>
      </c>
      <c r="BI449" s="30" t="str">
        <f t="shared" si="423"/>
        <v>0,0672374024726083+0,0208368477077376i</v>
      </c>
      <c r="BJ449" s="68">
        <f t="shared" si="417"/>
        <v>-23.0495261496916</v>
      </c>
      <c r="BK449" s="31">
        <f t="shared" si="424"/>
        <v>17.218190673577</v>
      </c>
      <c r="BL449" s="32">
        <f t="shared" si="418"/>
        <v>-35.5203774708377</v>
      </c>
      <c r="BM449" s="31">
        <f t="shared" si="419"/>
        <v>-76.6713523095236</v>
      </c>
      <c r="BO449">
        <f t="shared" si="420"/>
        <v>0</v>
      </c>
      <c r="BP449">
        <f t="shared" si="421"/>
        <v>0</v>
      </c>
    </row>
    <row r="450" spans="14:68">
      <c r="N450" s="7">
        <v>32</v>
      </c>
      <c r="O450" s="18">
        <f t="shared" si="422"/>
        <v>208929.613085404</v>
      </c>
      <c r="P450" s="86" t="str">
        <f t="shared" si="372"/>
        <v>163,636363636364</v>
      </c>
      <c r="Q450" s="4" t="str">
        <f t="shared" si="373"/>
        <v>1+8019,66923014736i</v>
      </c>
      <c r="R450" s="4">
        <f t="shared" si="384"/>
        <v>8019.66929249407</v>
      </c>
      <c r="S450" s="4">
        <f t="shared" si="385"/>
        <v>1.57067163337349</v>
      </c>
      <c r="T450" s="4" t="str">
        <f t="shared" si="374"/>
        <v>1+20,5838176907116i</v>
      </c>
      <c r="U450" s="4">
        <f t="shared" si="386"/>
        <v>20.6080943011345</v>
      </c>
      <c r="V450" s="4">
        <f t="shared" si="387"/>
        <v>1.52225264091962</v>
      </c>
      <c r="W450" t="str">
        <f t="shared" si="375"/>
        <v>1-19,691152127594i</v>
      </c>
      <c r="X450" s="4">
        <f t="shared" si="388"/>
        <v>19.7165278918995</v>
      </c>
      <c r="Y450" s="4">
        <f t="shared" si="389"/>
        <v>-1.52005568744448</v>
      </c>
      <c r="Z450" t="str">
        <f t="shared" si="376"/>
        <v>0,643660545110065+4,07888151214446i</v>
      </c>
      <c r="AA450" s="4">
        <f t="shared" si="390"/>
        <v>4.12935506919001</v>
      </c>
      <c r="AB450" s="4">
        <f t="shared" si="391"/>
        <v>1.41428376371701</v>
      </c>
      <c r="AC450" s="67" t="str">
        <f t="shared" si="392"/>
        <v>-1,98247607569548-0,317560024089928i</v>
      </c>
      <c r="AD450" s="68">
        <f t="shared" si="393"/>
        <v>6.05418805575839</v>
      </c>
      <c r="AE450" s="31">
        <f t="shared" si="394"/>
        <v>-170.899470126171</v>
      </c>
      <c r="AF450" s="32" t="str">
        <f t="shared" si="395"/>
        <v>748,315388573934</v>
      </c>
      <c r="AG450" s="32" t="str">
        <f t="shared" si="377"/>
        <v>1+6534,54529863859i</v>
      </c>
      <c r="AH450" s="32">
        <f t="shared" si="396"/>
        <v>6534.54537515501</v>
      </c>
      <c r="AI450" s="32">
        <f t="shared" si="397"/>
        <v>1.57064329395994</v>
      </c>
      <c r="AJ450" s="32" t="str">
        <f t="shared" si="378"/>
        <v>1+20,5838176907116i</v>
      </c>
      <c r="AK450" s="32">
        <f t="shared" si="398"/>
        <v>20.6080943011345</v>
      </c>
      <c r="AL450" s="32">
        <f t="shared" si="399"/>
        <v>1.52225264091962</v>
      </c>
      <c r="AM450" s="32" t="str">
        <f t="shared" si="379"/>
        <v>1-3,50845451487149i</v>
      </c>
      <c r="AN450" s="32">
        <f t="shared" si="400"/>
        <v>3.64818490251277</v>
      </c>
      <c r="AO450" s="32">
        <f t="shared" si="401"/>
        <v>-1.29313332247706</v>
      </c>
      <c r="AP450" s="30" t="str">
        <f t="shared" si="402"/>
        <v>1,95669947472963-8,38432347328652i</v>
      </c>
      <c r="AQ450" s="32">
        <f t="shared" si="403"/>
        <v>18.6996794600144</v>
      </c>
      <c r="AR450" s="31">
        <f t="shared" si="404"/>
        <v>-76.8636619127576</v>
      </c>
      <c r="AS450" t="str">
        <f t="shared" si="380"/>
        <v>-0,0000504684572142411</v>
      </c>
      <c r="AT450" t="str">
        <f t="shared" si="381"/>
        <v>0,294973458871357i</v>
      </c>
      <c r="AU450">
        <f t="shared" si="405"/>
        <v>0.294973458871357</v>
      </c>
      <c r="AV450">
        <f t="shared" si="406"/>
        <v>1.5707963267949</v>
      </c>
      <c r="AW450" t="str">
        <f t="shared" si="382"/>
        <v>1+15,1021000592881i</v>
      </c>
      <c r="AX450">
        <f t="shared" si="407"/>
        <v>15.1351718259407</v>
      </c>
      <c r="AY450">
        <f t="shared" si="408"/>
        <v>1.50467689232484</v>
      </c>
      <c r="AZ450" t="str">
        <f t="shared" si="383"/>
        <v>1+722,008911345111i</v>
      </c>
      <c r="BA450">
        <f t="shared" si="409"/>
        <v>722.009603857007</v>
      </c>
      <c r="BB450">
        <f t="shared" si="410"/>
        <v>1.56941130322406</v>
      </c>
      <c r="BC450" s="30" t="str">
        <f t="shared" si="411"/>
        <v>-0,000527988596586498+0,00814483152518944i</v>
      </c>
      <c r="BD450" s="32">
        <f t="shared" si="412"/>
        <v>-41.7641458655738</v>
      </c>
      <c r="BE450" s="31">
        <f t="shared" si="413"/>
        <v>93.7090085337905</v>
      </c>
      <c r="BF450" s="30" t="str">
        <f t="shared" si="414"/>
        <v>0,00363319765632033-0,0159792655678072i</v>
      </c>
      <c r="BG450" s="68">
        <f t="shared" si="415"/>
        <v>-35.7099578098154</v>
      </c>
      <c r="BH450" s="31">
        <f t="shared" si="416"/>
        <v>-77.1904615923804</v>
      </c>
      <c r="BI450" s="30" t="str">
        <f t="shared" si="423"/>
        <v>0,0672557871330058+0,0203638147510873i</v>
      </c>
      <c r="BJ450" s="68">
        <f t="shared" si="417"/>
        <v>-23.0644664055593</v>
      </c>
      <c r="BK450" s="31">
        <f t="shared" si="424"/>
        <v>16.8453466210329</v>
      </c>
      <c r="BL450" s="32">
        <f t="shared" si="418"/>
        <v>-35.7099578098154</v>
      </c>
      <c r="BM450" s="31">
        <f t="shared" si="419"/>
        <v>-77.1904615923804</v>
      </c>
      <c r="BO450">
        <f t="shared" si="420"/>
        <v>0</v>
      </c>
      <c r="BP450">
        <f t="shared" si="421"/>
        <v>0</v>
      </c>
    </row>
    <row r="451" spans="14:68">
      <c r="N451" s="7">
        <v>33</v>
      </c>
      <c r="O451" s="18">
        <f t="shared" si="422"/>
        <v>213796.208950223</v>
      </c>
      <c r="P451" s="86" t="str">
        <f t="shared" si="372"/>
        <v>163,636363636364</v>
      </c>
      <c r="Q451" s="4" t="str">
        <f t="shared" si="373"/>
        <v>1+8206,47132361937i</v>
      </c>
      <c r="R451" s="4">
        <f t="shared" si="384"/>
        <v>8206.4713845469</v>
      </c>
      <c r="S451" s="4">
        <f t="shared" si="385"/>
        <v>1.57067447174227</v>
      </c>
      <c r="T451" s="4" t="str">
        <f t="shared" si="374"/>
        <v>1+21,0632763972897i</v>
      </c>
      <c r="U451" s="4">
        <f t="shared" si="386"/>
        <v>21.0870010335425</v>
      </c>
      <c r="V451" s="4">
        <f t="shared" si="387"/>
        <v>1.52335595369073</v>
      </c>
      <c r="W451" t="str">
        <f t="shared" si="375"/>
        <v>1-20,1498179821011i</v>
      </c>
      <c r="X451" s="4">
        <f t="shared" si="388"/>
        <v>20.1746168417595</v>
      </c>
      <c r="Y451" s="4">
        <f t="shared" si="389"/>
        <v>-1.52120877098687</v>
      </c>
      <c r="Z451" t="str">
        <f t="shared" si="376"/>
        <v>0,626866783987854+4,17389086772094i</v>
      </c>
      <c r="AA451" s="4">
        <f t="shared" si="390"/>
        <v>4.22070218571644</v>
      </c>
      <c r="AB451" s="4">
        <f t="shared" si="391"/>
        <v>1.42172288144916</v>
      </c>
      <c r="AC451" s="67" t="str">
        <f t="shared" si="392"/>
        <v>-1,9868542207173-0,30301244591298i</v>
      </c>
      <c r="AD451" s="68">
        <f t="shared" si="393"/>
        <v>6.0631753168239</v>
      </c>
      <c r="AE451" s="31">
        <f t="shared" si="394"/>
        <v>-171.328714457212</v>
      </c>
      <c r="AF451" s="32" t="str">
        <f t="shared" si="395"/>
        <v>748,315388573934</v>
      </c>
      <c r="AG451" s="32" t="str">
        <f t="shared" si="377"/>
        <v>1+6686,754411838i</v>
      </c>
      <c r="AH451" s="32">
        <f t="shared" si="396"/>
        <v>6686.75448661269</v>
      </c>
      <c r="AI451" s="32">
        <f t="shared" si="397"/>
        <v>1.5706467774125</v>
      </c>
      <c r="AJ451" s="32" t="str">
        <f t="shared" si="378"/>
        <v>1+21,0632763972897i</v>
      </c>
      <c r="AK451" s="32">
        <f t="shared" si="398"/>
        <v>21.0870010335425</v>
      </c>
      <c r="AL451" s="32">
        <f t="shared" si="399"/>
        <v>1.52335595369073</v>
      </c>
      <c r="AM451" s="32" t="str">
        <f t="shared" si="379"/>
        <v>1-3,59017691880376i</v>
      </c>
      <c r="AN451" s="32">
        <f t="shared" si="400"/>
        <v>3.7268445511332</v>
      </c>
      <c r="AO451" s="32">
        <f t="shared" si="401"/>
        <v>-1.29914403044507</v>
      </c>
      <c r="AP451" s="30" t="str">
        <f t="shared" si="402"/>
        <v>1,95669868804458-8,57435908549076i</v>
      </c>
      <c r="AQ451" s="32">
        <f t="shared" si="403"/>
        <v>18.8845079255164</v>
      </c>
      <c r="AR451" s="31">
        <f t="shared" si="404"/>
        <v>-77.1450345330724</v>
      </c>
      <c r="AS451" t="str">
        <f t="shared" si="380"/>
        <v>-0,0000504684572142411</v>
      </c>
      <c r="AT451" t="str">
        <f t="shared" si="381"/>
        <v>0,301844273371874i</v>
      </c>
      <c r="AU451">
        <f t="shared" si="405"/>
        <v>0.301844273371874</v>
      </c>
      <c r="AV451">
        <f t="shared" si="406"/>
        <v>1.5707963267949</v>
      </c>
      <c r="AW451" t="str">
        <f t="shared" si="382"/>
        <v>1+15,4538731593922i</v>
      </c>
      <c r="AX451">
        <f t="shared" si="407"/>
        <v>15.4861937100949</v>
      </c>
      <c r="AY451">
        <f t="shared" si="408"/>
        <v>1.50617771971171</v>
      </c>
      <c r="AZ451" t="str">
        <f t="shared" si="383"/>
        <v>1+738,826659343706i</v>
      </c>
      <c r="BA451">
        <f t="shared" si="409"/>
        <v>738.827336092121</v>
      </c>
      <c r="BB451">
        <f t="shared" si="410"/>
        <v>1.56944283017062</v>
      </c>
      <c r="BC451" s="30" t="str">
        <f t="shared" si="411"/>
        <v>-0,000504324282825423+0,00796096381174485i</v>
      </c>
      <c r="BD451" s="32">
        <f t="shared" si="412"/>
        <v>-41.9632928725824</v>
      </c>
      <c r="BE451" s="31">
        <f t="shared" si="413"/>
        <v>93.6248238197242</v>
      </c>
      <c r="BF451" s="30" t="str">
        <f t="shared" si="414"/>
        <v>0,00341428994636344-0,0156644580158707i</v>
      </c>
      <c r="BG451" s="68">
        <f t="shared" si="415"/>
        <v>-35.9001175557585</v>
      </c>
      <c r="BH451" s="31">
        <f t="shared" si="416"/>
        <v>-77.703890637488</v>
      </c>
      <c r="BI451" s="30" t="str">
        <f t="shared" si="423"/>
        <v>0,0672733517259441+0,0199014649424893i</v>
      </c>
      <c r="BJ451" s="68">
        <f t="shared" si="417"/>
        <v>-23.0787849470659</v>
      </c>
      <c r="BK451" s="31">
        <f t="shared" si="424"/>
        <v>16.4797892866518</v>
      </c>
      <c r="BL451" s="32">
        <f t="shared" si="418"/>
        <v>-35.9001175557585</v>
      </c>
      <c r="BM451" s="31">
        <f t="shared" si="419"/>
        <v>-77.703890637488</v>
      </c>
      <c r="BO451">
        <f t="shared" si="420"/>
        <v>0</v>
      </c>
      <c r="BP451">
        <f t="shared" si="421"/>
        <v>0</v>
      </c>
    </row>
    <row r="452" spans="14:68">
      <c r="N452" s="7">
        <v>34</v>
      </c>
      <c r="O452" s="18">
        <f t="shared" si="422"/>
        <v>218776.162394955</v>
      </c>
      <c r="P452" s="86" t="str">
        <f t="shared" si="372"/>
        <v>163,636363636364</v>
      </c>
      <c r="Q452" s="4" t="str">
        <f t="shared" si="373"/>
        <v>1+8397,62459681267i</v>
      </c>
      <c r="R452" s="4">
        <f t="shared" si="384"/>
        <v>8397.62465635331</v>
      </c>
      <c r="S452" s="4">
        <f t="shared" si="385"/>
        <v>1.57067724550188</v>
      </c>
      <c r="T452" s="4" t="str">
        <f t="shared" si="374"/>
        <v>1+21,5539031318192i</v>
      </c>
      <c r="U452" s="4">
        <f t="shared" si="386"/>
        <v>21.5770883164491</v>
      </c>
      <c r="V452" s="4">
        <f t="shared" si="387"/>
        <v>1.5244342636966</v>
      </c>
      <c r="W452" t="str">
        <f t="shared" si="375"/>
        <v>1-20,6191675368168i</v>
      </c>
      <c r="X452" s="4">
        <f t="shared" si="388"/>
        <v>20.6434025759156</v>
      </c>
      <c r="Y452" s="4">
        <f t="shared" si="389"/>
        <v>-1.52233573467994</v>
      </c>
      <c r="Z452" t="str">
        <f t="shared" si="376"/>
        <v>0,609281557287639+4,27111327548348i</v>
      </c>
      <c r="AA452" s="4">
        <f t="shared" si="390"/>
        <v>4.31435193604579</v>
      </c>
      <c r="AB452" s="4">
        <f t="shared" si="391"/>
        <v>1.42910061481341</v>
      </c>
      <c r="AC452" s="67" t="str">
        <f t="shared" si="392"/>
        <v>-1,99098943824588-0,288524541930156i</v>
      </c>
      <c r="AD452" s="68">
        <f t="shared" si="393"/>
        <v>6.0716382547311</v>
      </c>
      <c r="AE452" s="31">
        <f t="shared" si="394"/>
        <v>-171.75437401701</v>
      </c>
      <c r="AF452" s="32" t="str">
        <f t="shared" si="395"/>
        <v>748,315388573934</v>
      </c>
      <c r="AG452" s="32" t="str">
        <f t="shared" si="377"/>
        <v>1+6842,50893073625i</v>
      </c>
      <c r="AH452" s="32">
        <f t="shared" si="396"/>
        <v>6842.50900380886</v>
      </c>
      <c r="AI452" s="32">
        <f t="shared" si="397"/>
        <v>1.570650181572</v>
      </c>
      <c r="AJ452" s="32" t="str">
        <f t="shared" si="378"/>
        <v>1+21,5539031318192i</v>
      </c>
      <c r="AK452" s="32">
        <f t="shared" si="398"/>
        <v>21.5770883164491</v>
      </c>
      <c r="AL452" s="32">
        <f t="shared" si="399"/>
        <v>1.5244342636966</v>
      </c>
      <c r="AM452" s="32" t="str">
        <f t="shared" si="379"/>
        <v>1-3,67380288206i</v>
      </c>
      <c r="AN452" s="32">
        <f t="shared" si="400"/>
        <v>3.8074699757493</v>
      </c>
      <c r="AO452" s="32">
        <f t="shared" si="401"/>
        <v>-1.30503742993921</v>
      </c>
      <c r="AP452" s="30" t="str">
        <f t="shared" si="402"/>
        <v>1,95669793676619-8,76894093636663i</v>
      </c>
      <c r="AQ452" s="32">
        <f t="shared" si="403"/>
        <v>19.0699725045596</v>
      </c>
      <c r="AR452" s="31">
        <f t="shared" si="404"/>
        <v>-77.4211138826996</v>
      </c>
      <c r="AS452" t="str">
        <f t="shared" si="380"/>
        <v>-0,0000504684572142411</v>
      </c>
      <c r="AT452" t="str">
        <f t="shared" si="381"/>
        <v>0,308875129701515i</v>
      </c>
      <c r="AU452">
        <f t="shared" si="405"/>
        <v>0.308875129701515</v>
      </c>
      <c r="AV452">
        <f t="shared" si="406"/>
        <v>1.5707963267949</v>
      </c>
      <c r="AW452" t="str">
        <f t="shared" si="382"/>
        <v>1+15,8138401076017i</v>
      </c>
      <c r="AX452">
        <f t="shared" si="407"/>
        <v>15.8454264363188</v>
      </c>
      <c r="AY452">
        <f t="shared" si="408"/>
        <v>1.50764466583246</v>
      </c>
      <c r="AZ452" t="str">
        <f t="shared" si="383"/>
        <v>1+756,036143016615i</v>
      </c>
      <c r="BA452">
        <f t="shared" si="409"/>
        <v>756.03680436037</v>
      </c>
      <c r="BB452">
        <f t="shared" si="410"/>
        <v>1.56947363947886</v>
      </c>
      <c r="BC452" s="30" t="str">
        <f t="shared" si="411"/>
        <v>-0,000481716354722044+0,0077811797807523i</v>
      </c>
      <c r="BD452" s="32">
        <f t="shared" si="412"/>
        <v>-42.1624781140378</v>
      </c>
      <c r="BE452" s="31">
        <f t="shared" si="413"/>
        <v>93.5425392415642</v>
      </c>
      <c r="BF452" s="30" t="str">
        <f t="shared" si="414"/>
        <v>0,00320415350639964-0,0153532597699838i</v>
      </c>
      <c r="BG452" s="68">
        <f t="shared" si="415"/>
        <v>-36.0908398593067</v>
      </c>
      <c r="BH452" s="31">
        <f t="shared" si="416"/>
        <v>-78.2118347754456</v>
      </c>
      <c r="BI452" s="30" t="str">
        <f t="shared" si="423"/>
        <v>0,067290132515276+0,0194495606852443i</v>
      </c>
      <c r="BJ452" s="68">
        <f t="shared" si="417"/>
        <v>-23.0925056094782</v>
      </c>
      <c r="BK452" s="31">
        <f t="shared" si="424"/>
        <v>16.1214253588646</v>
      </c>
      <c r="BL452" s="32">
        <f t="shared" si="418"/>
        <v>-36.0908398593067</v>
      </c>
      <c r="BM452" s="31">
        <f t="shared" si="419"/>
        <v>-78.2118347754456</v>
      </c>
      <c r="BO452">
        <f t="shared" si="420"/>
        <v>0</v>
      </c>
      <c r="BP452">
        <f t="shared" si="421"/>
        <v>0</v>
      </c>
    </row>
    <row r="453" spans="14:68">
      <c r="N453" s="7">
        <v>35</v>
      </c>
      <c r="O453" s="18">
        <f t="shared" si="422"/>
        <v>223872.113856834</v>
      </c>
      <c r="P453" s="86" t="str">
        <f t="shared" si="372"/>
        <v>163,636363636364</v>
      </c>
      <c r="Q453" s="4" t="str">
        <f t="shared" si="373"/>
        <v>1+8593,23040172286i</v>
      </c>
      <c r="R453" s="4">
        <f t="shared" si="384"/>
        <v>8593.23045990819</v>
      </c>
      <c r="S453" s="4">
        <f t="shared" si="385"/>
        <v>1.57067995612301</v>
      </c>
      <c r="T453" s="4" t="str">
        <f t="shared" si="374"/>
        <v>1+22,0559580310887i</v>
      </c>
      <c r="U453" s="4">
        <f t="shared" si="386"/>
        <v>22.0786160043864</v>
      </c>
      <c r="V453" s="4">
        <f t="shared" si="387"/>
        <v>1.5254881326353</v>
      </c>
      <c r="W453" t="str">
        <f t="shared" si="375"/>
        <v>1-21,0994496470874i</v>
      </c>
      <c r="X453" s="4">
        <f t="shared" si="388"/>
        <v>21.1231336550706</v>
      </c>
      <c r="Y453" s="4">
        <f t="shared" si="389"/>
        <v>-1.52343716459786</v>
      </c>
      <c r="Z453" t="str">
        <f t="shared" si="376"/>
        <v>0,5908675643859+4,37060028403952i</v>
      </c>
      <c r="AA453" s="4">
        <f t="shared" si="390"/>
        <v>4.41035954560279</v>
      </c>
      <c r="AB453" s="4">
        <f t="shared" si="391"/>
        <v>1.43641963098397</v>
      </c>
      <c r="AC453" s="67" t="str">
        <f t="shared" si="392"/>
        <v>-1,9948872851827-0,274095516635116i</v>
      </c>
      <c r="AD453" s="68">
        <f t="shared" si="393"/>
        <v>6.07959116171512</v>
      </c>
      <c r="AE453" s="31">
        <f t="shared" si="394"/>
        <v>-172.176603104301</v>
      </c>
      <c r="AF453" s="32" t="str">
        <f t="shared" si="395"/>
        <v>748,315388573934</v>
      </c>
      <c r="AG453" s="32" t="str">
        <f t="shared" si="377"/>
        <v>1+7001,89143844084i</v>
      </c>
      <c r="AH453" s="32">
        <f t="shared" si="396"/>
        <v>7001.89150985011</v>
      </c>
      <c r="AI453" s="32">
        <f t="shared" si="397"/>
        <v>1.57065350824337</v>
      </c>
      <c r="AJ453" s="32" t="str">
        <f t="shared" si="378"/>
        <v>1+22,0559580310887i</v>
      </c>
      <c r="AK453" s="32">
        <f t="shared" si="398"/>
        <v>22.0786160043864</v>
      </c>
      <c r="AL453" s="32">
        <f t="shared" si="399"/>
        <v>1.5254881326353</v>
      </c>
      <c r="AM453" s="32" t="str">
        <f t="shared" si="379"/>
        <v>1-3,75937674423282i</v>
      </c>
      <c r="AN453" s="32">
        <f t="shared" si="400"/>
        <v>3.89010456222947</v>
      </c>
      <c r="AO453" s="32">
        <f t="shared" si="401"/>
        <v>-1.31081500753785</v>
      </c>
      <c r="AP453" s="30" t="str">
        <f t="shared" si="402"/>
        <v>1,95669721930089-8,9681721957877i</v>
      </c>
      <c r="AQ453" s="32">
        <f t="shared" si="403"/>
        <v>19.2560484006146</v>
      </c>
      <c r="AR453" s="31">
        <f t="shared" si="404"/>
        <v>-77.6919530567937</v>
      </c>
      <c r="AS453" t="str">
        <f t="shared" si="380"/>
        <v>-0,0000504684572142411</v>
      </c>
      <c r="AT453" t="str">
        <f t="shared" si="381"/>
        <v>0,31606975571337i</v>
      </c>
      <c r="AU453">
        <f t="shared" si="405"/>
        <v>0.31606975571337</v>
      </c>
      <c r="AV453">
        <f t="shared" si="406"/>
        <v>1.5707963267949</v>
      </c>
      <c r="AW453" t="str">
        <f t="shared" si="382"/>
        <v>1+16,182191763157i</v>
      </c>
      <c r="AX453">
        <f t="shared" si="407"/>
        <v>16.2130604840538</v>
      </c>
      <c r="AY453">
        <f t="shared" si="408"/>
        <v>1.50907848321297</v>
      </c>
      <c r="AZ453" t="str">
        <f t="shared" si="383"/>
        <v>1+773,646487059869i</v>
      </c>
      <c r="BA453">
        <f t="shared" si="409"/>
        <v>773.647133349614</v>
      </c>
      <c r="BB453">
        <f t="shared" si="410"/>
        <v>1.56950374748405</v>
      </c>
      <c r="BC453" s="30" t="str">
        <f t="shared" si="411"/>
        <v>-0,000460118026715835+0,00760539320202168i</v>
      </c>
      <c r="BD453" s="32">
        <f t="shared" si="412"/>
        <v>-42.3616998828285</v>
      </c>
      <c r="BE453" s="31">
        <f t="shared" si="413"/>
        <v>93.4621126186956</v>
      </c>
      <c r="BF453" s="30" t="str">
        <f t="shared" si="414"/>
        <v>0,0030024877801001-0,0150457859092822i</v>
      </c>
      <c r="BG453" s="68">
        <f t="shared" si="415"/>
        <v>-36.2821087211133</v>
      </c>
      <c r="BH453" s="31">
        <f t="shared" si="416"/>
        <v>-78.7144904856059</v>
      </c>
      <c r="BI453" s="30" t="str">
        <f t="shared" si="423"/>
        <v>0,0673061641889785+0,0190078694240594i</v>
      </c>
      <c r="BJ453" s="68">
        <f t="shared" si="417"/>
        <v>-23.1056514822138</v>
      </c>
      <c r="BK453" s="31">
        <f t="shared" si="424"/>
        <v>15.7701595619019</v>
      </c>
      <c r="BL453" s="32">
        <f t="shared" si="418"/>
        <v>-36.2821087211133</v>
      </c>
      <c r="BM453" s="31">
        <f t="shared" si="419"/>
        <v>-78.7144904856059</v>
      </c>
      <c r="BO453">
        <f t="shared" si="420"/>
        <v>0</v>
      </c>
      <c r="BP453">
        <f t="shared" si="421"/>
        <v>0</v>
      </c>
    </row>
    <row r="454" spans="14:68">
      <c r="N454" s="7">
        <v>36</v>
      </c>
      <c r="O454" s="18">
        <f t="shared" si="422"/>
        <v>229086.765276778</v>
      </c>
      <c r="P454" s="86" t="str">
        <f t="shared" si="372"/>
        <v>163,636363636364</v>
      </c>
      <c r="Q454" s="4" t="str">
        <f t="shared" si="373"/>
        <v>1+8793,39245113698i</v>
      </c>
      <c r="R454" s="4">
        <f t="shared" si="384"/>
        <v>8793.39250799786</v>
      </c>
      <c r="S454" s="4">
        <f t="shared" si="385"/>
        <v>1.57068260504288</v>
      </c>
      <c r="T454" s="4" t="str">
        <f t="shared" si="374"/>
        <v>1+22,5697072912516i</v>
      </c>
      <c r="U454" s="4">
        <f t="shared" si="386"/>
        <v>22.5918500174903</v>
      </c>
      <c r="V454" s="4">
        <f t="shared" si="387"/>
        <v>1.526518109913</v>
      </c>
      <c r="W454" t="str">
        <f t="shared" si="375"/>
        <v>1-21,5909189648453i</v>
      </c>
      <c r="X454" s="4">
        <f t="shared" si="388"/>
        <v>21.6140644430083</v>
      </c>
      <c r="Y454" s="4">
        <f t="shared" si="389"/>
        <v>-1.5245136340377</v>
      </c>
      <c r="Z454" t="str">
        <f t="shared" si="376"/>
        <v>0,571585746734874+4,47240464271795i</v>
      </c>
      <c r="AA454" s="4">
        <f t="shared" si="390"/>
        <v>4.50878182595649</v>
      </c>
      <c r="AB454" s="4">
        <f t="shared" si="391"/>
        <v>1.44368263055179</v>
      </c>
      <c r="AC454" s="67" t="str">
        <f t="shared" si="392"/>
        <v>-1,99855308357493-0,259724287307241i</v>
      </c>
      <c r="AD454" s="68">
        <f t="shared" si="393"/>
        <v>6.08704756394739</v>
      </c>
      <c r="AE454" s="31">
        <f t="shared" si="394"/>
        <v>-172.595557902742</v>
      </c>
      <c r="AF454" s="32" t="str">
        <f t="shared" si="395"/>
        <v>748,315388573934</v>
      </c>
      <c r="AG454" s="32" t="str">
        <f t="shared" si="377"/>
        <v>1+7164,98644166717i</v>
      </c>
      <c r="AH454" s="32">
        <f t="shared" si="396"/>
        <v>7164.98651145097</v>
      </c>
      <c r="AI454" s="32">
        <f t="shared" si="397"/>
        <v>1.57065675919046</v>
      </c>
      <c r="AJ454" s="32" t="str">
        <f t="shared" si="378"/>
        <v>1+22,5697072912516i</v>
      </c>
      <c r="AK454" s="32">
        <f t="shared" si="398"/>
        <v>22.5918500174903</v>
      </c>
      <c r="AL454" s="32">
        <f t="shared" si="399"/>
        <v>1.526518109913</v>
      </c>
      <c r="AM454" s="32" t="str">
        <f t="shared" si="379"/>
        <v>1-3,84694387771671i</v>
      </c>
      <c r="AN454" s="32">
        <f t="shared" si="400"/>
        <v>3.97479272394198</v>
      </c>
      <c r="AO454" s="32">
        <f t="shared" si="401"/>
        <v>-1.31647828309752</v>
      </c>
      <c r="AP454" s="30" t="str">
        <f t="shared" si="402"/>
        <v>1,95669653412685-9,17215849880561i</v>
      </c>
      <c r="AQ454" s="32">
        <f t="shared" si="403"/>
        <v>19.4427116293678</v>
      </c>
      <c r="AR454" s="31">
        <f t="shared" si="404"/>
        <v>-77.9576077591228</v>
      </c>
      <c r="AS454" t="str">
        <f t="shared" si="380"/>
        <v>-0,0000504684572142411</v>
      </c>
      <c r="AT454" t="str">
        <f t="shared" si="381"/>
        <v>0,323431966093382i</v>
      </c>
      <c r="AU454">
        <f t="shared" si="405"/>
        <v>0.323431966093382</v>
      </c>
      <c r="AV454">
        <f t="shared" si="406"/>
        <v>1.5707963267949</v>
      </c>
      <c r="AW454" t="str">
        <f t="shared" si="382"/>
        <v>1+16,559123430982i</v>
      </c>
      <c r="AX454">
        <f t="shared" si="407"/>
        <v>16.5892907866038</v>
      </c>
      <c r="AY454">
        <f t="shared" si="408"/>
        <v>1.51047990848739</v>
      </c>
      <c r="AZ454" t="str">
        <f t="shared" si="383"/>
        <v>1+791,667028710992i</v>
      </c>
      <c r="BA454">
        <f t="shared" si="409"/>
        <v>791.667660289399</v>
      </c>
      <c r="BB454">
        <f t="shared" si="410"/>
        <v>1.56953317014964</v>
      </c>
      <c r="BC454" s="30" t="str">
        <f t="shared" si="411"/>
        <v>-0,000439484552677589+0,00743351936570864i</v>
      </c>
      <c r="BD454" s="32">
        <f t="shared" si="412"/>
        <v>-42.5609565474752</v>
      </c>
      <c r="BE454" s="31">
        <f t="shared" si="413"/>
        <v>93.3835026597289</v>
      </c>
      <c r="BF454" s="30" t="str">
        <f t="shared" si="414"/>
        <v>0,0028089987273806-0,0147421382379242i</v>
      </c>
      <c r="BG454" s="68">
        <f t="shared" si="415"/>
        <v>-36.4739089835278</v>
      </c>
      <c r="BH454" s="31">
        <f t="shared" si="416"/>
        <v>-79.2120552430134</v>
      </c>
      <c r="BI454" s="30" t="str">
        <f t="shared" si="423"/>
        <v>0,0673214799251941+0,0185761635541824i</v>
      </c>
      <c r="BJ454" s="68">
        <f t="shared" si="417"/>
        <v>-23.1182449181073</v>
      </c>
      <c r="BK454" s="31">
        <f t="shared" si="424"/>
        <v>15.4258949006061</v>
      </c>
      <c r="BL454" s="32">
        <f t="shared" si="418"/>
        <v>-36.4739089835278</v>
      </c>
      <c r="BM454" s="31">
        <f t="shared" si="419"/>
        <v>-79.2120552430134</v>
      </c>
      <c r="BO454">
        <f t="shared" si="420"/>
        <v>0</v>
      </c>
      <c r="BP454">
        <f t="shared" si="421"/>
        <v>0</v>
      </c>
    </row>
    <row r="455" spans="14:68">
      <c r="N455" s="7">
        <v>37</v>
      </c>
      <c r="O455" s="18">
        <f t="shared" si="422"/>
        <v>234422.881531993</v>
      </c>
      <c r="P455" s="86" t="str">
        <f t="shared" si="372"/>
        <v>163,636363636364</v>
      </c>
      <c r="Q455" s="4" t="str">
        <f t="shared" si="373"/>
        <v>1+8998,21687362297i</v>
      </c>
      <c r="R455" s="4">
        <f t="shared" si="384"/>
        <v>8998.21692918953</v>
      </c>
      <c r="S455" s="4">
        <f t="shared" si="385"/>
        <v>1.57068519366597</v>
      </c>
      <c r="T455" s="4" t="str">
        <f t="shared" si="374"/>
        <v>1+23,0954233089656i</v>
      </c>
      <c r="U455" s="4">
        <f t="shared" si="386"/>
        <v>23.1170624825109</v>
      </c>
      <c r="V455" s="4">
        <f t="shared" si="387"/>
        <v>1.52752473289109</v>
      </c>
      <c r="W455" t="str">
        <f t="shared" si="375"/>
        <v>1-22,0938360736278i</v>
      </c>
      <c r="X455" s="4">
        <f t="shared" si="388"/>
        <v>22.1164552414788</v>
      </c>
      <c r="Y455" s="4">
        <f t="shared" si="389"/>
        <v>-1.52556570377296</v>
      </c>
      <c r="Z455" t="str">
        <f t="shared" si="376"/>
        <v>0,551395205014178+4,57658032953719i</v>
      </c>
      <c r="AA455" s="4">
        <f t="shared" si="390"/>
        <v>4.60967723217357</v>
      </c>
      <c r="AB455" s="4">
        <f t="shared" si="391"/>
        <v>1.45089234474927</v>
      </c>
      <c r="AC455" s="67" t="str">
        <f t="shared" si="392"/>
        <v>-2,00199191335935-0,245409501660908i</v>
      </c>
      <c r="AD455" s="68">
        <f t="shared" si="393"/>
        <v>6.09402022678966</v>
      </c>
      <c r="AE455" s="31">
        <f t="shared" si="394"/>
        <v>-173.011396322309</v>
      </c>
      <c r="AF455" s="32" t="str">
        <f t="shared" si="395"/>
        <v>748,315388573934</v>
      </c>
      <c r="AG455" s="32" t="str">
        <f t="shared" si="377"/>
        <v>1+7331,88041554464i</v>
      </c>
      <c r="AH455" s="32">
        <f t="shared" si="396"/>
        <v>7331.88048373997</v>
      </c>
      <c r="AI455" s="32">
        <f t="shared" si="397"/>
        <v>1.57065993613696</v>
      </c>
      <c r="AJ455" s="32" t="str">
        <f t="shared" si="378"/>
        <v>1+23,0954233089656i</v>
      </c>
      <c r="AK455" s="32">
        <f t="shared" si="398"/>
        <v>23.1170624825109</v>
      </c>
      <c r="AL455" s="32">
        <f t="shared" si="399"/>
        <v>1.52752473289109</v>
      </c>
      <c r="AM455" s="32" t="str">
        <f t="shared" si="379"/>
        <v>1-3,93655071176486i</v>
      </c>
      <c r="AN455" s="32">
        <f t="shared" si="400"/>
        <v>4.06157992735542</v>
      </c>
      <c r="AO455" s="32">
        <f t="shared" si="401"/>
        <v>-1.3220288056684</v>
      </c>
      <c r="AP455" s="30" t="str">
        <f t="shared" si="402"/>
        <v>1,95669587979072-9,3810080016588i</v>
      </c>
      <c r="AQ455" s="32">
        <f t="shared" si="403"/>
        <v>19.6299390049429</v>
      </c>
      <c r="AR455" s="31">
        <f t="shared" si="404"/>
        <v>-78.2181360539473</v>
      </c>
      <c r="AS455" t="str">
        <f t="shared" si="380"/>
        <v>-0,0000504684572142411</v>
      </c>
      <c r="AT455" t="str">
        <f t="shared" si="381"/>
        <v>0,330965664382944i</v>
      </c>
      <c r="AU455">
        <f t="shared" si="405"/>
        <v>0.330965664382944</v>
      </c>
      <c r="AV455">
        <f t="shared" si="406"/>
        <v>1.5707963267949</v>
      </c>
      <c r="AW455" t="str">
        <f t="shared" si="382"/>
        <v>1+16,944834965236i</v>
      </c>
      <c r="AX455">
        <f t="shared" si="407"/>
        <v>16.9743168345322</v>
      </c>
      <c r="AY455">
        <f t="shared" si="408"/>
        <v>1.51184966267839</v>
      </c>
      <c r="AZ455" t="str">
        <f t="shared" si="383"/>
        <v>1+810,107322699685i</v>
      </c>
      <c r="BA455">
        <f t="shared" si="409"/>
        <v>810.107939901623</v>
      </c>
      <c r="BB455">
        <f t="shared" si="410"/>
        <v>1.56956192307571</v>
      </c>
      <c r="BC455" s="30" t="str">
        <f t="shared" si="411"/>
        <v>-0,000419773139877145+0,00726547507654937i</v>
      </c>
      <c r="BD455" s="32">
        <f t="shared" si="412"/>
        <v>-42.7602465488316</v>
      </c>
      <c r="BE455" s="31">
        <f t="shared" si="413"/>
        <v>93.3066689469263</v>
      </c>
      <c r="BF455" s="30" t="str">
        <f t="shared" si="414"/>
        <v>0,00262339904934524-0,0144424060328979i</v>
      </c>
      <c r="BG455" s="68">
        <f t="shared" si="415"/>
        <v>-36.6662263220419</v>
      </c>
      <c r="BH455" s="31">
        <f t="shared" si="416"/>
        <v>-79.7047273753832</v>
      </c>
      <c r="BI455" s="30" t="str">
        <f t="shared" si="423"/>
        <v>0,0673361114557178+0,0181542203310753i</v>
      </c>
      <c r="BJ455" s="68">
        <f t="shared" si="417"/>
        <v>-23.1303075438887</v>
      </c>
      <c r="BK455" s="31">
        <f t="shared" si="424"/>
        <v>15.088532892979</v>
      </c>
      <c r="BL455" s="32">
        <f t="shared" si="418"/>
        <v>-36.6662263220419</v>
      </c>
      <c r="BM455" s="31">
        <f t="shared" si="419"/>
        <v>-79.7047273753832</v>
      </c>
      <c r="BO455">
        <f t="shared" si="420"/>
        <v>0</v>
      </c>
      <c r="BP455">
        <f t="shared" si="421"/>
        <v>0</v>
      </c>
    </row>
    <row r="456" spans="14:68">
      <c r="N456" s="7">
        <v>38</v>
      </c>
      <c r="O456" s="18">
        <f t="shared" si="422"/>
        <v>239883.291901949</v>
      </c>
      <c r="P456" s="86" t="str">
        <f t="shared" si="372"/>
        <v>163,636363636364</v>
      </c>
      <c r="Q456" s="4" t="str">
        <f t="shared" si="373"/>
        <v>1+9207,8122698008i</v>
      </c>
      <c r="R456" s="4">
        <f t="shared" si="384"/>
        <v>9207.81232410252</v>
      </c>
      <c r="S456" s="4">
        <f t="shared" si="385"/>
        <v>1.57068772336481</v>
      </c>
      <c r="T456" s="4" t="str">
        <f t="shared" si="374"/>
        <v>1+23,633384825822i</v>
      </c>
      <c r="U456" s="4">
        <f t="shared" si="386"/>
        <v>23.6545318771138</v>
      </c>
      <c r="V456" s="4">
        <f t="shared" si="387"/>
        <v>1.52850852712974</v>
      </c>
      <c r="W456" t="str">
        <f t="shared" si="375"/>
        <v>1-22,608467626743i</v>
      </c>
      <c r="X456" s="4">
        <f t="shared" si="388"/>
        <v>22.6305724282327</v>
      </c>
      <c r="Y456" s="4">
        <f t="shared" si="389"/>
        <v>-1.52659392230375</v>
      </c>
      <c r="Z456" t="str">
        <f t="shared" si="376"/>
        <v>0,530253112377828+4,68318257982534i</v>
      </c>
      <c r="AA456" s="4">
        <f t="shared" si="390"/>
        <v>4.71310592276112</v>
      </c>
      <c r="AB456" s="4">
        <f t="shared" si="391"/>
        <v>1.45805153284359</v>
      </c>
      <c r="AC456" s="67" t="str">
        <f t="shared" si="392"/>
        <v>-2,00520860595389-0,231149555105356i</v>
      </c>
      <c r="AD456" s="68">
        <f t="shared" si="393"/>
        <v>6.10052116031744</v>
      </c>
      <c r="AE456" s="31">
        <f t="shared" si="394"/>
        <v>-173.424277850369</v>
      </c>
      <c r="AF456" s="32" t="str">
        <f t="shared" si="395"/>
        <v>748,315388573934</v>
      </c>
      <c r="AG456" s="32" t="str">
        <f t="shared" si="377"/>
        <v>1+7502,66184946731i</v>
      </c>
      <c r="AH456" s="32">
        <f t="shared" si="396"/>
        <v>7502.66191611032</v>
      </c>
      <c r="AI456" s="32">
        <f t="shared" si="397"/>
        <v>1.57066304076733</v>
      </c>
      <c r="AJ456" s="32" t="str">
        <f t="shared" si="378"/>
        <v>1+23,633384825822i</v>
      </c>
      <c r="AK456" s="32">
        <f t="shared" si="398"/>
        <v>23.6545318771138</v>
      </c>
      <c r="AL456" s="32">
        <f t="shared" si="399"/>
        <v>1.52850852712974</v>
      </c>
      <c r="AM456" s="32" t="str">
        <f t="shared" si="379"/>
        <v>1-4,02824475710679i</v>
      </c>
      <c r="AN456" s="32">
        <f t="shared" si="400"/>
        <v>4.15051271810584</v>
      </c>
      <c r="AO456" s="32">
        <f t="shared" si="401"/>
        <v>-1.32746814961865</v>
      </c>
      <c r="AP456" s="30" t="str">
        <f t="shared" si="402"/>
        <v>1,95669525490455-9,59483143911874i</v>
      </c>
      <c r="AQ456" s="32">
        <f t="shared" si="403"/>
        <v>19.8177081251928</v>
      </c>
      <c r="AR456" s="31">
        <f t="shared" si="404"/>
        <v>-78.4735981300503</v>
      </c>
      <c r="AS456" t="str">
        <f t="shared" si="380"/>
        <v>-0,0000504684572142411</v>
      </c>
      <c r="AT456" t="str">
        <f t="shared" si="381"/>
        <v>0,33867484504861i</v>
      </c>
      <c r="AU456">
        <f t="shared" si="405"/>
        <v>0.33867484504861</v>
      </c>
      <c r="AV456">
        <f t="shared" si="406"/>
        <v>1.5707963267949</v>
      </c>
      <c r="AW456" t="str">
        <f t="shared" si="382"/>
        <v>1+17,3395308752798i</v>
      </c>
      <c r="AX456">
        <f t="shared" si="407"/>
        <v>17.368342781474</v>
      </c>
      <c r="AY456">
        <f t="shared" si="408"/>
        <v>1.51318845147641</v>
      </c>
      <c r="AZ456" t="str">
        <f t="shared" si="383"/>
        <v>1+828,977146313909i</v>
      </c>
      <c r="BA456">
        <f t="shared" si="409"/>
        <v>828.977749466626</v>
      </c>
      <c r="BB456">
        <f t="shared" si="410"/>
        <v>1.56959002150724</v>
      </c>
      <c r="BC456" s="30" t="str">
        <f t="shared" si="411"/>
        <v>-0,00040094286632594+0,0071011786463761i</v>
      </c>
      <c r="BD456" s="32">
        <f t="shared" si="412"/>
        <v>-42.959568396924</v>
      </c>
      <c r="BE456" s="31">
        <f t="shared" si="413"/>
        <v>93.2315719206781</v>
      </c>
      <c r="BF456" s="30" t="str">
        <f t="shared" si="414"/>
        <v>0,00244540837088608-0,0141466667689554i</v>
      </c>
      <c r="BG456" s="68">
        <f t="shared" si="415"/>
        <v>-36.8590472366066</v>
      </c>
      <c r="BH456" s="31">
        <f t="shared" si="416"/>
        <v>-80.1927059296907</v>
      </c>
      <c r="BI456" s="30" t="str">
        <f t="shared" si="423"/>
        <v>0,0673500891270203+0,0177418217807081i</v>
      </c>
      <c r="BJ456" s="68">
        <f t="shared" si="417"/>
        <v>-23.1418602717312</v>
      </c>
      <c r="BK456" s="31">
        <f t="shared" si="424"/>
        <v>14.7579737906277</v>
      </c>
      <c r="BL456" s="32">
        <f t="shared" si="418"/>
        <v>-36.8590472366066</v>
      </c>
      <c r="BM456" s="31">
        <f t="shared" si="419"/>
        <v>-80.1927059296907</v>
      </c>
      <c r="BO456">
        <f t="shared" si="420"/>
        <v>0</v>
      </c>
      <c r="BP456">
        <f t="shared" si="421"/>
        <v>0</v>
      </c>
    </row>
    <row r="457" spans="14:68">
      <c r="N457" s="7">
        <v>39</v>
      </c>
      <c r="O457" s="18">
        <f t="shared" si="422"/>
        <v>245470.891568503</v>
      </c>
      <c r="P457" s="86" t="str">
        <f t="shared" si="372"/>
        <v>163,636363636364</v>
      </c>
      <c r="Q457" s="4" t="str">
        <f t="shared" si="373"/>
        <v>1+9422,28976992388i</v>
      </c>
      <c r="R457" s="4">
        <f t="shared" si="384"/>
        <v>9422.28982298954</v>
      </c>
      <c r="S457" s="4">
        <f t="shared" si="385"/>
        <v>1.57069019548068</v>
      </c>
      <c r="T457" s="4" t="str">
        <f t="shared" si="374"/>
        <v>1+24,1838770761379i</v>
      </c>
      <c r="U457" s="4">
        <f t="shared" si="386"/>
        <v>24.2045431775472</v>
      </c>
      <c r="V457" s="4">
        <f t="shared" si="387"/>
        <v>1.529470006628</v>
      </c>
      <c r="W457" t="str">
        <f t="shared" si="375"/>
        <v>1-23,1350864886524i</v>
      </c>
      <c r="X457" s="4">
        <f t="shared" si="388"/>
        <v>23.1566885982739</v>
      </c>
      <c r="Y457" s="4">
        <f t="shared" si="389"/>
        <v>-1.52759882610366</v>
      </c>
      <c r="Z457" t="str">
        <f t="shared" si="376"/>
        <v>0,508114623612768+4,79226791550656i</v>
      </c>
      <c r="AA457" s="4">
        <f t="shared" si="390"/>
        <v>4.81912982235618</v>
      </c>
      <c r="AB457" s="4">
        <f t="shared" si="391"/>
        <v>1.46516297969086</v>
      </c>
      <c r="AC457" s="67" t="str">
        <f t="shared" si="392"/>
        <v>-2,00820773862175-0,216942607602534i</v>
      </c>
      <c r="AD457" s="68">
        <f t="shared" si="393"/>
        <v>6.10656162501164</v>
      </c>
      <c r="AE457" s="31">
        <f t="shared" si="394"/>
        <v>-173.834363411967</v>
      </c>
      <c r="AF457" s="32" t="str">
        <f t="shared" si="395"/>
        <v>748,315388573934</v>
      </c>
      <c r="AG457" s="32" t="str">
        <f t="shared" si="377"/>
        <v>1+7677,42129401205i</v>
      </c>
      <c r="AH457" s="32">
        <f t="shared" si="396"/>
        <v>7677.42135913808</v>
      </c>
      <c r="AI457" s="32">
        <f t="shared" si="397"/>
        <v>1.57066607472769</v>
      </c>
      <c r="AJ457" s="32" t="str">
        <f t="shared" si="378"/>
        <v>1+24,1838770761379i</v>
      </c>
      <c r="AK457" s="32">
        <f t="shared" si="398"/>
        <v>24.2045431775472</v>
      </c>
      <c r="AL457" s="32">
        <f t="shared" si="399"/>
        <v>1.529470006628</v>
      </c>
      <c r="AM457" s="32" t="str">
        <f t="shared" si="379"/>
        <v>1-4,12207463113905i</v>
      </c>
      <c r="AN457" s="32">
        <f t="shared" si="400"/>
        <v>4.24163874754559</v>
      </c>
      <c r="AO457" s="32">
        <f t="shared" si="401"/>
        <v>-1.33279791096381</v>
      </c>
      <c r="AP457" s="30" t="str">
        <f t="shared" si="402"/>
        <v>1,95669465814291-9,81374218320277i</v>
      </c>
      <c r="AQ457" s="32">
        <f t="shared" si="403"/>
        <v>20.0059973561894</v>
      </c>
      <c r="AR457" s="31">
        <f t="shared" si="404"/>
        <v>-78.7240560767255</v>
      </c>
      <c r="AS457" t="str">
        <f t="shared" si="380"/>
        <v>-0,0000504684572142411</v>
      </c>
      <c r="AT457" t="str">
        <f t="shared" si="381"/>
        <v>0,346563595600013i</v>
      </c>
      <c r="AU457">
        <f t="shared" si="405"/>
        <v>0.346563595600013</v>
      </c>
      <c r="AV457">
        <f t="shared" si="406"/>
        <v>1.5707963267949</v>
      </c>
      <c r="AW457" t="str">
        <f t="shared" si="382"/>
        <v>1+17,7434204341096i</v>
      </c>
      <c r="AX457">
        <f t="shared" si="407"/>
        <v>17.7715775524172</v>
      </c>
      <c r="AY457">
        <f t="shared" si="408"/>
        <v>1.51449696551746</v>
      </c>
      <c r="AZ457" t="str">
        <f t="shared" si="383"/>
        <v>1+848,286504583919i</v>
      </c>
      <c r="BA457">
        <f t="shared" si="409"/>
        <v>848.287094007214</v>
      </c>
      <c r="BB457">
        <f t="shared" si="410"/>
        <v>1.56961748034223</v>
      </c>
      <c r="BC457" s="30" t="str">
        <f t="shared" si="411"/>
        <v>-0,000382954601385143+0,00694054988506708i</v>
      </c>
      <c r="BD457" s="32">
        <f t="shared" si="412"/>
        <v>-43.1589206679266</v>
      </c>
      <c r="BE457" s="31">
        <f t="shared" si="413"/>
        <v>93.1581728640477</v>
      </c>
      <c r="BF457" s="30" t="str">
        <f t="shared" si="414"/>
        <v>0,00227475338430437-0,0138549868196641i</v>
      </c>
      <c r="BG457" s="68">
        <f t="shared" si="415"/>
        <v>-37.052359042915</v>
      </c>
      <c r="BH457" s="31">
        <f t="shared" si="416"/>
        <v>-80.6761905479197</v>
      </c>
      <c r="BI457" s="30" t="str">
        <f t="shared" si="423"/>
        <v>0,0673634419588644+0,0173387546105501i</v>
      </c>
      <c r="BJ457" s="68">
        <f t="shared" si="417"/>
        <v>-23.1529233117372</v>
      </c>
      <c r="BK457" s="31">
        <f t="shared" si="424"/>
        <v>14.4341167873222</v>
      </c>
      <c r="BL457" s="32">
        <f t="shared" si="418"/>
        <v>-37.052359042915</v>
      </c>
      <c r="BM457" s="31">
        <f t="shared" si="419"/>
        <v>-80.6761905479197</v>
      </c>
      <c r="BO457">
        <f t="shared" si="420"/>
        <v>0</v>
      </c>
      <c r="BP457">
        <f t="shared" si="421"/>
        <v>0</v>
      </c>
    </row>
    <row r="458" spans="14:68">
      <c r="N458" s="7">
        <v>40</v>
      </c>
      <c r="O458" s="18">
        <f t="shared" si="422"/>
        <v>251188.643150958</v>
      </c>
      <c r="P458" s="86" t="str">
        <f t="shared" si="372"/>
        <v>163,636363636364</v>
      </c>
      <c r="Q458" s="4" t="str">
        <f t="shared" si="373"/>
        <v>1+9641,76309280178i</v>
      </c>
      <c r="R458" s="4">
        <f t="shared" si="384"/>
        <v>9641.76314465952</v>
      </c>
      <c r="S458" s="4">
        <f t="shared" si="385"/>
        <v>1.57069261132431</v>
      </c>
      <c r="T458" s="4" t="str">
        <f t="shared" si="374"/>
        <v>1+24,7471919381912i</v>
      </c>
      <c r="U458" s="4">
        <f t="shared" si="386"/>
        <v>24.7673880097534</v>
      </c>
      <c r="V458" s="4">
        <f t="shared" si="387"/>
        <v>1.53040967406031</v>
      </c>
      <c r="W458" t="str">
        <f t="shared" si="375"/>
        <v>1-23,6739718796472i</v>
      </c>
      <c r="X458" s="4">
        <f t="shared" si="388"/>
        <v>23.6950827084086</v>
      </c>
      <c r="Y458" s="4">
        <f t="shared" si="389"/>
        <v>-1.5285809398631</v>
      </c>
      <c r="Z458" t="str">
        <f t="shared" si="376"/>
        <v>0,484932780016163+4,90389417506978i</v>
      </c>
      <c r="AA458" s="4">
        <f t="shared" si="390"/>
        <v>4.92781268733071</v>
      </c>
      <c r="AB458" s="4">
        <f t="shared" si="391"/>
        <v>1.47222949344337</v>
      </c>
      <c r="AC458" s="67" t="str">
        <f t="shared" si="392"/>
        <v>-2,01099362953617-0,202786600116363i</v>
      </c>
      <c r="AD458" s="68">
        <f t="shared" si="393"/>
        <v>6.11215213752241</v>
      </c>
      <c r="AE458" s="31">
        <f t="shared" si="394"/>
        <v>-174.241815238902</v>
      </c>
      <c r="AF458" s="32" t="str">
        <f t="shared" si="395"/>
        <v>748,315388573934</v>
      </c>
      <c r="AG458" s="32" t="str">
        <f t="shared" si="377"/>
        <v>1+7856,2514089496i</v>
      </c>
      <c r="AH458" s="32">
        <f t="shared" si="396"/>
        <v>7856.25147259318</v>
      </c>
      <c r="AI458" s="32">
        <f t="shared" si="397"/>
        <v>1.57066903962669</v>
      </c>
      <c r="AJ458" s="32" t="str">
        <f t="shared" si="378"/>
        <v>1+24,7471919381912i</v>
      </c>
      <c r="AK458" s="32">
        <f t="shared" si="398"/>
        <v>24.7673880097534</v>
      </c>
      <c r="AL458" s="32">
        <f t="shared" si="399"/>
        <v>1.53040967406031</v>
      </c>
      <c r="AM458" s="32" t="str">
        <f t="shared" si="379"/>
        <v>1-4,21809008370288i</v>
      </c>
      <c r="AN458" s="32">
        <f t="shared" si="400"/>
        <v>4.33500679979081</v>
      </c>
      <c r="AO458" s="32">
        <f t="shared" si="401"/>
        <v>-1.33801970389746</v>
      </c>
      <c r="AP458" s="30" t="str">
        <f t="shared" si="402"/>
        <v>1,95669408823997-10,0378563032857i</v>
      </c>
      <c r="AQ458" s="32">
        <f t="shared" si="403"/>
        <v>20.1947858160306</v>
      </c>
      <c r="AR458" s="31">
        <f t="shared" si="404"/>
        <v>-78.969573671496</v>
      </c>
      <c r="AS458" t="str">
        <f t="shared" si="380"/>
        <v>-0,0000504684572142411</v>
      </c>
      <c r="AT458" t="str">
        <f t="shared" si="381"/>
        <v>0,354636098757114i</v>
      </c>
      <c r="AU458">
        <f t="shared" si="405"/>
        <v>0.354636098757114</v>
      </c>
      <c r="AV458">
        <f t="shared" si="406"/>
        <v>1.5707963267949</v>
      </c>
      <c r="AW458" t="str">
        <f t="shared" si="382"/>
        <v>1+18,1567177893155i</v>
      </c>
      <c r="AX458">
        <f t="shared" si="407"/>
        <v>18.1842349545106</v>
      </c>
      <c r="AY458">
        <f t="shared" si="408"/>
        <v>1.51577588065925</v>
      </c>
      <c r="AZ458" t="str">
        <f t="shared" si="383"/>
        <v>1+868,045635587063i</v>
      </c>
      <c r="BA458">
        <f t="shared" si="409"/>
        <v>868.046211593454</v>
      </c>
      <c r="BB458">
        <f t="shared" si="410"/>
        <v>1.56964431413954</v>
      </c>
      <c r="BC458" s="30" t="str">
        <f t="shared" si="411"/>
        <v>-0,000365770929531415+0,00678351009007744i</v>
      </c>
      <c r="BD458" s="32">
        <f t="shared" si="412"/>
        <v>-43.3583020012625</v>
      </c>
      <c r="BE458" s="31">
        <f t="shared" si="413"/>
        <v>93.086433887402</v>
      </c>
      <c r="BF458" s="30" t="str">
        <f t="shared" si="414"/>
        <v>0,00211116795717905-0,013567422133819i</v>
      </c>
      <c r="BG458" s="68">
        <f t="shared" si="415"/>
        <v>-37.2461498637401</v>
      </c>
      <c r="BH458" s="31">
        <f t="shared" si="416"/>
        <v>-81.1553813514999</v>
      </c>
      <c r="BI458" s="30" t="str">
        <f t="shared" si="423"/>
        <v>0,0673761977006218+0,0169448101213263i</v>
      </c>
      <c r="BJ458" s="68">
        <f t="shared" si="417"/>
        <v>-23.1635161852319</v>
      </c>
      <c r="BK458" s="31">
        <f t="shared" si="424"/>
        <v>14.116860215906</v>
      </c>
      <c r="BL458" s="32">
        <f t="shared" si="418"/>
        <v>-37.2461498637401</v>
      </c>
      <c r="BM458" s="31">
        <f t="shared" si="419"/>
        <v>-81.1553813514999</v>
      </c>
      <c r="BO458">
        <f t="shared" si="420"/>
        <v>0</v>
      </c>
      <c r="BP458">
        <f t="shared" si="421"/>
        <v>0</v>
      </c>
    </row>
    <row r="459" spans="14:68">
      <c r="N459" s="7">
        <v>41</v>
      </c>
      <c r="O459" s="18">
        <f t="shared" si="422"/>
        <v>257039.578276887</v>
      </c>
      <c r="P459" s="86" t="str">
        <f t="shared" si="372"/>
        <v>163,636363636364</v>
      </c>
      <c r="Q459" s="4" t="str">
        <f t="shared" si="373"/>
        <v>1+9866,34860609525i</v>
      </c>
      <c r="R459" s="4">
        <f t="shared" si="384"/>
        <v>9866.34865677256</v>
      </c>
      <c r="S459" s="4">
        <f t="shared" si="385"/>
        <v>1.57069497217664</v>
      </c>
      <c r="T459" s="4" t="str">
        <f t="shared" si="374"/>
        <v>1+25,3236280889778i</v>
      </c>
      <c r="U459" s="4">
        <f t="shared" si="386"/>
        <v>25.3433648040047</v>
      </c>
      <c r="V459" s="4">
        <f t="shared" si="387"/>
        <v>1.53132802100939</v>
      </c>
      <c r="W459" t="str">
        <f t="shared" si="375"/>
        <v>1-24,2254095238946i</v>
      </c>
      <c r="X459" s="4">
        <f t="shared" si="388"/>
        <v>24.2460402251667</v>
      </c>
      <c r="Y459" s="4">
        <f t="shared" si="389"/>
        <v>-1.5295407767291</v>
      </c>
      <c r="Z459" t="str">
        <f t="shared" si="376"/>
        <v>0,460658409789715+5,0181205442353i</v>
      </c>
      <c r="AA459" s="4">
        <f t="shared" si="390"/>
        <v>5.03922017448994</v>
      </c>
      <c r="AB459" s="4">
        <f t="shared" si="391"/>
        <v>1.47925390340175</v>
      </c>
      <c r="AC459" s="67" t="str">
        <f t="shared" si="392"/>
        <v>-2,013570333478-0,188679270652604i</v>
      </c>
      <c r="AD459" s="68">
        <f t="shared" si="393"/>
        <v>6.11730247641825</v>
      </c>
      <c r="AE459" s="31">
        <f t="shared" si="394"/>
        <v>-174.646796747093</v>
      </c>
      <c r="AF459" s="32" t="str">
        <f t="shared" si="395"/>
        <v>748,315388573934</v>
      </c>
      <c r="AG459" s="32" t="str">
        <f t="shared" si="377"/>
        <v>1+8039,2470123739i</v>
      </c>
      <c r="AH459" s="32">
        <f t="shared" si="396"/>
        <v>8039.24707456878</v>
      </c>
      <c r="AI459" s="32">
        <f t="shared" si="397"/>
        <v>1.57067193703634</v>
      </c>
      <c r="AJ459" s="32" t="str">
        <f t="shared" si="378"/>
        <v>1+25,3236280889778i</v>
      </c>
      <c r="AK459" s="32">
        <f t="shared" si="398"/>
        <v>25.3433648040047</v>
      </c>
      <c r="AL459" s="32">
        <f t="shared" si="399"/>
        <v>1.53132802100939</v>
      </c>
      <c r="AM459" s="32" t="str">
        <f t="shared" si="379"/>
        <v>1-4,31634202346209i</v>
      </c>
      <c r="AN459" s="32">
        <f t="shared" si="400"/>
        <v>4.43066681928407</v>
      </c>
      <c r="AO459" s="32">
        <f t="shared" si="401"/>
        <v>-1.34313515751823</v>
      </c>
      <c r="AP459" s="30" t="str">
        <f t="shared" si="402"/>
        <v>1,95669354398688-10,2672926276407i</v>
      </c>
      <c r="AQ459" s="32">
        <f t="shared" si="403"/>
        <v>20.3840533580776</v>
      </c>
      <c r="AR459" s="31">
        <f t="shared" si="404"/>
        <v>-79.2102161792952</v>
      </c>
      <c r="AS459" t="str">
        <f t="shared" si="380"/>
        <v>-0,0000504684572142411</v>
      </c>
      <c r="AT459" t="str">
        <f t="shared" si="381"/>
        <v>0,362896634667941i</v>
      </c>
      <c r="AU459">
        <f t="shared" si="405"/>
        <v>0.362896634667941</v>
      </c>
      <c r="AV459">
        <f t="shared" si="406"/>
        <v>1.5707963267949</v>
      </c>
      <c r="AW459" t="str">
        <f t="shared" si="382"/>
        <v>1+18,5796420766259i</v>
      </c>
      <c r="AX459">
        <f t="shared" si="407"/>
        <v>18.6065337904599</v>
      </c>
      <c r="AY459">
        <f t="shared" si="408"/>
        <v>1.51702585825545</v>
      </c>
      <c r="AZ459" t="str">
        <f t="shared" si="383"/>
        <v>1+888,265015876133i</v>
      </c>
      <c r="BA459">
        <f t="shared" si="409"/>
        <v>888.265578771027</v>
      </c>
      <c r="BB459">
        <f t="shared" si="410"/>
        <v>1.56967053712666</v>
      </c>
      <c r="BC459" s="30" t="str">
        <f t="shared" si="411"/>
        <v>-0,000349356077173669+0,00662998203468288i</v>
      </c>
      <c r="BD459" s="32">
        <f t="shared" si="412"/>
        <v>-43.5577110968309</v>
      </c>
      <c r="BE459" s="31">
        <f t="shared" si="413"/>
        <v>93.0163179131415</v>
      </c>
      <c r="BF459" s="30" t="str">
        <f t="shared" si="414"/>
        <v>0,00195439320756098-0,0132840188866904i</v>
      </c>
      <c r="BG459" s="68">
        <f t="shared" si="415"/>
        <v>-37.4404086204127</v>
      </c>
      <c r="BH459" s="31">
        <f t="shared" si="416"/>
        <v>-81.6304788339515</v>
      </c>
      <c r="BI459" s="30" t="str">
        <f t="shared" si="423"/>
        <v>0,0673883828853315+0,0165597841195997i</v>
      </c>
      <c r="BJ459" s="68">
        <f t="shared" si="417"/>
        <v>-23.1736577387534</v>
      </c>
      <c r="BK459" s="31">
        <f t="shared" si="424"/>
        <v>13.8061017338463</v>
      </c>
      <c r="BL459" s="32">
        <f t="shared" si="418"/>
        <v>-37.4404086204127</v>
      </c>
      <c r="BM459" s="31">
        <f t="shared" si="419"/>
        <v>-81.6304788339515</v>
      </c>
      <c r="BO459">
        <f t="shared" si="420"/>
        <v>0</v>
      </c>
      <c r="BP459">
        <f t="shared" si="421"/>
        <v>0</v>
      </c>
    </row>
    <row r="460" spans="14:68">
      <c r="N460" s="7">
        <v>42</v>
      </c>
      <c r="O460" s="18">
        <f t="shared" si="422"/>
        <v>263026.799189539</v>
      </c>
      <c r="P460" s="86" t="str">
        <f t="shared" si="372"/>
        <v>163,636363636364</v>
      </c>
      <c r="Q460" s="4" t="str">
        <f t="shared" si="373"/>
        <v>1+10096,1653880163i</v>
      </c>
      <c r="R460" s="4">
        <f t="shared" si="384"/>
        <v>10096.1654375401</v>
      </c>
      <c r="S460" s="4">
        <f t="shared" si="385"/>
        <v>1.5706972792894</v>
      </c>
      <c r="T460" s="4" t="str">
        <f t="shared" si="374"/>
        <v>1+25,9134911625752i</v>
      </c>
      <c r="U460" s="4">
        <f t="shared" si="386"/>
        <v>25.9327789531485</v>
      </c>
      <c r="V460" s="4">
        <f t="shared" si="387"/>
        <v>1.53222552819542</v>
      </c>
      <c r="W460" t="str">
        <f t="shared" si="375"/>
        <v>1-24,7896918009329i</v>
      </c>
      <c r="X460" s="4">
        <f t="shared" si="388"/>
        <v>24.8098532761732</v>
      </c>
      <c r="Y460" s="4">
        <f t="shared" si="389"/>
        <v>-1.53047883854156</v>
      </c>
      <c r="Z460" t="str">
        <f t="shared" si="376"/>
        <v>0,435240023739635+5,13500758733609i</v>
      </c>
      <c r="AA460" s="4">
        <f t="shared" si="390"/>
        <v>5.15341991305425</v>
      </c>
      <c r="AB460" s="4">
        <f t="shared" si="391"/>
        <v>1.48623905800376</v>
      </c>
      <c r="AC460" s="67" t="str">
        <f t="shared" si="392"/>
        <v>-2,01594163810187-0,174618169893565i</v>
      </c>
      <c r="AD460" s="68">
        <f t="shared" si="393"/>
        <v>6.12202168783921</v>
      </c>
      <c r="AE460" s="31">
        <f t="shared" si="394"/>
        <v>-175.049472421793</v>
      </c>
      <c r="AF460" s="32" t="str">
        <f t="shared" si="395"/>
        <v>748,315388573934</v>
      </c>
      <c r="AG460" s="32" t="str">
        <f t="shared" si="377"/>
        <v>1+8226,50513097624i</v>
      </c>
      <c r="AH460" s="32">
        <f t="shared" si="396"/>
        <v>8226.50519175539</v>
      </c>
      <c r="AI460" s="32">
        <f t="shared" si="397"/>
        <v>1.5706747684929</v>
      </c>
      <c r="AJ460" s="32" t="str">
        <f t="shared" si="378"/>
        <v>1+25,9134911625752i</v>
      </c>
      <c r="AK460" s="32">
        <f t="shared" si="398"/>
        <v>25.9327789531485</v>
      </c>
      <c r="AL460" s="32">
        <f t="shared" si="399"/>
        <v>1.53222552819542</v>
      </c>
      <c r="AM460" s="32" t="str">
        <f t="shared" si="379"/>
        <v>1-4,41688254489571i</v>
      </c>
      <c r="AN460" s="32">
        <f t="shared" si="400"/>
        <v>4.52866993888983</v>
      </c>
      <c r="AO460" s="32">
        <f t="shared" si="401"/>
        <v>-1.34814591274834</v>
      </c>
      <c r="AP460" s="30" t="str">
        <f t="shared" si="402"/>
        <v>1,95669302422921-10,5021728064446i</v>
      </c>
      <c r="AQ460" s="32">
        <f t="shared" si="403"/>
        <v>20.5737805537275</v>
      </c>
      <c r="AR460" s="31">
        <f t="shared" si="404"/>
        <v>-79.4460501628219</v>
      </c>
      <c r="AS460" t="str">
        <f t="shared" si="380"/>
        <v>-0,0000504684572142411</v>
      </c>
      <c r="AT460" t="str">
        <f t="shared" si="381"/>
        <v>0,371349583177973i</v>
      </c>
      <c r="AU460">
        <f t="shared" si="405"/>
        <v>0.371349583177973</v>
      </c>
      <c r="AV460">
        <f t="shared" si="406"/>
        <v>1.5707963267949</v>
      </c>
      <c r="AW460" t="str">
        <f t="shared" si="382"/>
        <v>1+19,012417536096i</v>
      </c>
      <c r="AX460">
        <f t="shared" si="407"/>
        <v>19.0386979745688</v>
      </c>
      <c r="AY460">
        <f t="shared" si="408"/>
        <v>1.51824754542772</v>
      </c>
      <c r="AZ460" t="str">
        <f t="shared" si="383"/>
        <v>1+908,955366034204i</v>
      </c>
      <c r="BA460">
        <f t="shared" si="409"/>
        <v>908.955916116053</v>
      </c>
      <c r="BB460">
        <f t="shared" si="410"/>
        <v>1.56969616320721</v>
      </c>
      <c r="BC460" s="30" t="str">
        <f t="shared" si="411"/>
        <v>-0,000333675842416334+0,00647988995506373i</v>
      </c>
      <c r="BD460" s="32">
        <f t="shared" si="412"/>
        <v>-43.7571467123514</v>
      </c>
      <c r="BE460" s="31">
        <f t="shared" si="413"/>
        <v>92.9477886605461</v>
      </c>
      <c r="BF460" s="30" t="str">
        <f t="shared" si="414"/>
        <v>0,00180417754942073-0,0130048141057906i</v>
      </c>
      <c r="BG460" s="68">
        <f t="shared" si="415"/>
        <v>-37.6351250245121</v>
      </c>
      <c r="BH460" s="31">
        <f t="shared" si="416"/>
        <v>-82.1016837612473</v>
      </c>
      <c r="BI460" s="30" t="str">
        <f t="shared" si="423"/>
        <v>0,067400022881614+0,0161834768312384i</v>
      </c>
      <c r="BJ460" s="68">
        <f t="shared" si="417"/>
        <v>-23.1833661586238</v>
      </c>
      <c r="BK460" s="31">
        <f t="shared" si="424"/>
        <v>13.5017384977242</v>
      </c>
      <c r="BL460" s="32">
        <f t="shared" si="418"/>
        <v>-37.6351250245121</v>
      </c>
      <c r="BM460" s="31">
        <f t="shared" si="419"/>
        <v>-82.1016837612473</v>
      </c>
      <c r="BO460">
        <f t="shared" si="420"/>
        <v>0</v>
      </c>
      <c r="BP460">
        <f t="shared" si="421"/>
        <v>0</v>
      </c>
    </row>
    <row r="461" spans="14:68">
      <c r="N461" s="7">
        <v>43</v>
      </c>
      <c r="O461" s="18">
        <f t="shared" si="422"/>
        <v>269153.480392691</v>
      </c>
      <c r="P461" s="86" t="str">
        <f t="shared" si="372"/>
        <v>163,636363636364</v>
      </c>
      <c r="Q461" s="4" t="str">
        <f t="shared" si="373"/>
        <v>1+10331,3352904645i</v>
      </c>
      <c r="R461" s="4">
        <f t="shared" si="384"/>
        <v>10331.335338861</v>
      </c>
      <c r="S461" s="4">
        <f t="shared" si="385"/>
        <v>1.57069953388587</v>
      </c>
      <c r="T461" s="4" t="str">
        <f t="shared" si="374"/>
        <v>1+26,5170939121921i</v>
      </c>
      <c r="U461" s="4">
        <f t="shared" si="386"/>
        <v>26.5359429745396</v>
      </c>
      <c r="V461" s="4">
        <f t="shared" si="387"/>
        <v>1.53310266570161</v>
      </c>
      <c r="W461" t="str">
        <f t="shared" si="375"/>
        <v>1-25,367117900694i</v>
      </c>
      <c r="X461" s="4">
        <f t="shared" si="388"/>
        <v>25.3868208050498</v>
      </c>
      <c r="Y461" s="4">
        <f t="shared" si="389"/>
        <v>-1.53139561606586</v>
      </c>
      <c r="Z461" t="str">
        <f t="shared" si="376"/>
        <v>0,408623706061235+5,25461727942947i</v>
      </c>
      <c r="AA461" s="4">
        <f t="shared" si="390"/>
        <v>5.27048158012472</v>
      </c>
      <c r="AB461" s="4">
        <f t="shared" si="391"/>
        <v>1.49318782294115</v>
      </c>
      <c r="AC461" s="67" t="str">
        <f t="shared" si="392"/>
        <v>-2,01811106071073-0,160600676436658i</v>
      </c>
      <c r="AD461" s="68">
        <f t="shared" si="393"/>
        <v>6.12631809097962</v>
      </c>
      <c r="AE461" s="31">
        <f t="shared" si="394"/>
        <v>-175.450007710133</v>
      </c>
      <c r="AF461" s="32" t="str">
        <f t="shared" si="395"/>
        <v>748,315388573934</v>
      </c>
      <c r="AG461" s="32" t="str">
        <f t="shared" si="377"/>
        <v>1+8418,12505148957i</v>
      </c>
      <c r="AH461" s="32">
        <f t="shared" si="396"/>
        <v>8418.12511088522</v>
      </c>
      <c r="AI461" s="32">
        <f t="shared" si="397"/>
        <v>1.57067753549764</v>
      </c>
      <c r="AJ461" s="32" t="str">
        <f t="shared" si="378"/>
        <v>1+26,5170939121921i</v>
      </c>
      <c r="AK461" s="32">
        <f t="shared" si="398"/>
        <v>26.5359429745396</v>
      </c>
      <c r="AL461" s="32">
        <f t="shared" si="399"/>
        <v>1.53310266570161</v>
      </c>
      <c r="AM461" s="32" t="str">
        <f t="shared" si="379"/>
        <v>1-4,51976495591892i</v>
      </c>
      <c r="AN461" s="32">
        <f t="shared" si="400"/>
        <v>4.62906850853957</v>
      </c>
      <c r="AO461" s="32">
        <f t="shared" si="401"/>
        <v>-1.35305361943771</v>
      </c>
      <c r="AP461" s="30" t="str">
        <f t="shared" si="402"/>
        <v>1,95669252786449-10,7426213762773i</v>
      </c>
      <c r="AQ461" s="32">
        <f t="shared" si="403"/>
        <v>20.7639486748148</v>
      </c>
      <c r="AR461" s="31">
        <f t="shared" si="404"/>
        <v>-79.6771433037474</v>
      </c>
      <c r="AS461" t="str">
        <f t="shared" si="380"/>
        <v>-0,0000504684572142411</v>
      </c>
      <c r="AT461" t="str">
        <f t="shared" si="381"/>
        <v>0,379999426152397i</v>
      </c>
      <c r="AU461">
        <f t="shared" si="405"/>
        <v>0.379999426152397</v>
      </c>
      <c r="AV461">
        <f t="shared" si="406"/>
        <v>1.5707963267949</v>
      </c>
      <c r="AW461" t="str">
        <f t="shared" si="382"/>
        <v>1+19,4552736310025i</v>
      </c>
      <c r="AX461">
        <f t="shared" si="407"/>
        <v>19.4809566514887</v>
      </c>
      <c r="AY461">
        <f t="shared" si="408"/>
        <v>1.51944157533536</v>
      </c>
      <c r="AZ461" t="str">
        <f t="shared" si="383"/>
        <v>1+930,127656358779i</v>
      </c>
      <c r="BA461">
        <f t="shared" si="409"/>
        <v>930.128193919244</v>
      </c>
      <c r="BB461">
        <f t="shared" si="410"/>
        <v>1.56972120596834</v>
      </c>
      <c r="BC461" s="30" t="str">
        <f t="shared" si="411"/>
        <v>-0,00031869752766624+0,0063331595363445i</v>
      </c>
      <c r="BD461" s="32">
        <f t="shared" si="412"/>
        <v>-43.956607660822</v>
      </c>
      <c r="BE461" s="31">
        <f t="shared" si="413"/>
        <v>92.8808106307466</v>
      </c>
      <c r="BF461" s="30" t="str">
        <f t="shared" si="414"/>
        <v>0,0016602767111226-0,0127298362710206i</v>
      </c>
      <c r="BG461" s="68">
        <f t="shared" si="415"/>
        <v>-37.8302895698423</v>
      </c>
      <c r="BH461" s="31">
        <f t="shared" si="416"/>
        <v>-82.5691970793867</v>
      </c>
      <c r="BI461" s="30" t="str">
        <f t="shared" si="423"/>
        <v>0,0674111419434754+0,0158156928158131i</v>
      </c>
      <c r="BJ461" s="68">
        <f t="shared" si="417"/>
        <v>-23.1926589860072</v>
      </c>
      <c r="BK461" s="31">
        <f t="shared" si="424"/>
        <v>13.2036673269993</v>
      </c>
      <c r="BL461" s="32">
        <f t="shared" si="418"/>
        <v>-37.8302895698423</v>
      </c>
      <c r="BM461" s="31">
        <f t="shared" si="419"/>
        <v>-82.5691970793867</v>
      </c>
      <c r="BO461">
        <f t="shared" si="420"/>
        <v>0</v>
      </c>
      <c r="BP461">
        <f t="shared" si="421"/>
        <v>0</v>
      </c>
    </row>
    <row r="462" spans="14:68">
      <c r="N462" s="7">
        <v>44</v>
      </c>
      <c r="O462" s="18">
        <f t="shared" si="422"/>
        <v>275422.870333817</v>
      </c>
      <c r="P462" s="86" t="str">
        <f t="shared" si="372"/>
        <v>163,636363636364</v>
      </c>
      <c r="Q462" s="4" t="str">
        <f t="shared" si="373"/>
        <v>1+10571,9830036352i</v>
      </c>
      <c r="R462" s="4">
        <f t="shared" si="384"/>
        <v>10571.98305093</v>
      </c>
      <c r="S462" s="4">
        <f t="shared" si="385"/>
        <v>1.57070173716146</v>
      </c>
      <c r="T462" s="4" t="str">
        <f t="shared" si="374"/>
        <v>1+27,1347563759971i</v>
      </c>
      <c r="U462" s="4">
        <f t="shared" si="386"/>
        <v>27.1531766757541</v>
      </c>
      <c r="V462" s="4">
        <f t="shared" si="387"/>
        <v>1.53395989319607</v>
      </c>
      <c r="W462" t="str">
        <f t="shared" si="375"/>
        <v>1-25,9579939821401i</v>
      </c>
      <c r="X462" s="4">
        <f t="shared" si="388"/>
        <v>25.9772487299333</v>
      </c>
      <c r="Y462" s="4">
        <f t="shared" si="389"/>
        <v>-1.53229158922178</v>
      </c>
      <c r="Z462" t="str">
        <f t="shared" si="376"/>
        <v>0,380752999976169+5,37701303915758i</v>
      </c>
      <c r="AA462" s="4">
        <f t="shared" si="390"/>
        <v>5.3904769798471</v>
      </c>
      <c r="AB462" s="4">
        <f t="shared" si="391"/>
        <v>1.50010307939597</v>
      </c>
      <c r="AC462" s="67" t="str">
        <f t="shared" si="392"/>
        <v>-2,020081845483-0,146624011649732i</v>
      </c>
      <c r="AD462" s="68">
        <f t="shared" si="393"/>
        <v>6.1301992833334</v>
      </c>
      <c r="AE462" s="31">
        <f t="shared" si="394"/>
        <v>-175.848568920514</v>
      </c>
      <c r="AF462" s="32" t="str">
        <f t="shared" si="395"/>
        <v>748,315388573934</v>
      </c>
      <c r="AG462" s="32" t="str">
        <f t="shared" si="377"/>
        <v>1+8614,20837333241i</v>
      </c>
      <c r="AH462" s="32">
        <f t="shared" si="396"/>
        <v>8614.20843137605</v>
      </c>
      <c r="AI462" s="32">
        <f t="shared" si="397"/>
        <v>1.57068023951767</v>
      </c>
      <c r="AJ462" s="32" t="str">
        <f t="shared" si="378"/>
        <v>1+27,1347563759971i</v>
      </c>
      <c r="AK462" s="32">
        <f t="shared" si="398"/>
        <v>27.1531766757541</v>
      </c>
      <c r="AL462" s="32">
        <f t="shared" si="399"/>
        <v>1.53395989319607</v>
      </c>
      <c r="AM462" s="32" t="str">
        <f t="shared" si="379"/>
        <v>1-4,62504380614799i</v>
      </c>
      <c r="AN462" s="32">
        <f t="shared" si="400"/>
        <v>4.73191612444556</v>
      </c>
      <c r="AO462" s="32">
        <f t="shared" si="401"/>
        <v>-1.35785993364823</v>
      </c>
      <c r="AP462" s="30" t="str">
        <f t="shared" si="402"/>
        <v>1,95669205383986-10,988765826154i</v>
      </c>
      <c r="AQ462" s="32">
        <f t="shared" si="403"/>
        <v>20.9545396757339</v>
      </c>
      <c r="AR462" s="31">
        <f t="shared" si="404"/>
        <v>-79.9035642344443</v>
      </c>
      <c r="AS462" t="str">
        <f t="shared" si="380"/>
        <v>-0,0000504684572142411</v>
      </c>
      <c r="AT462" t="str">
        <f t="shared" si="381"/>
        <v>0,388850749852457i</v>
      </c>
      <c r="AU462">
        <f t="shared" si="405"/>
        <v>0.388850749852457</v>
      </c>
      <c r="AV462">
        <f t="shared" si="406"/>
        <v>1.5707963267949</v>
      </c>
      <c r="AW462" t="str">
        <f t="shared" si="382"/>
        <v>1+19,9084451695096i</v>
      </c>
      <c r="AX462">
        <f t="shared" si="407"/>
        <v>19.9335443177416</v>
      </c>
      <c r="AY462">
        <f t="shared" si="408"/>
        <v>1.5206085674424</v>
      </c>
      <c r="AZ462" t="str">
        <f t="shared" si="383"/>
        <v>1+951,793112678468i</v>
      </c>
      <c r="BA462">
        <f t="shared" si="409"/>
        <v>951.79363800257</v>
      </c>
      <c r="BB462">
        <f t="shared" si="410"/>
        <v>1.56974567868794</v>
      </c>
      <c r="BC462" s="30" t="str">
        <f t="shared" si="411"/>
        <v>-0,000304389874982513+0,00618971789769833i</v>
      </c>
      <c r="BD462" s="32">
        <f t="shared" si="412"/>
        <v>-44.1560928080872</v>
      </c>
      <c r="BE462" s="31">
        <f t="shared" si="413"/>
        <v>92.8153490918344</v>
      </c>
      <c r="BF462" s="30" t="str">
        <f t="shared" si="414"/>
        <v>0,00152245372954169-0,0124591058892261i</v>
      </c>
      <c r="BG462" s="68">
        <f t="shared" si="415"/>
        <v>-38.0258935247538</v>
      </c>
      <c r="BH462" s="31">
        <f t="shared" si="416"/>
        <v>-83.0332198286796</v>
      </c>
      <c r="BI462" s="30" t="str">
        <f t="shared" si="423"/>
        <v>0,0674217632581136+0,0154562408819718i</v>
      </c>
      <c r="BJ462" s="68">
        <f t="shared" si="417"/>
        <v>-23.2015531323533</v>
      </c>
      <c r="BK462" s="31">
        <f t="shared" si="424"/>
        <v>12.91178485739</v>
      </c>
      <c r="BL462" s="32">
        <f t="shared" si="418"/>
        <v>-38.0258935247538</v>
      </c>
      <c r="BM462" s="31">
        <f t="shared" si="419"/>
        <v>-83.0332198286796</v>
      </c>
      <c r="BO462">
        <f t="shared" si="420"/>
        <v>0</v>
      </c>
      <c r="BP462">
        <f t="shared" si="421"/>
        <v>0</v>
      </c>
    </row>
    <row r="463" spans="14:68">
      <c r="N463" s="7">
        <v>45</v>
      </c>
      <c r="O463" s="18">
        <f t="shared" si="422"/>
        <v>281838.293126446</v>
      </c>
      <c r="P463" s="86" t="str">
        <f t="shared" si="372"/>
        <v>163,636363636364</v>
      </c>
      <c r="Q463" s="4" t="str">
        <f t="shared" si="373"/>
        <v>1+10818,2361221312i</v>
      </c>
      <c r="R463" s="4">
        <f t="shared" si="384"/>
        <v>10818.2361683495</v>
      </c>
      <c r="S463" s="4">
        <f t="shared" si="385"/>
        <v>1.57070389028437</v>
      </c>
      <c r="T463" s="4" t="str">
        <f t="shared" si="374"/>
        <v>1+27,7668060468033i</v>
      </c>
      <c r="U463" s="4">
        <f t="shared" si="386"/>
        <v>27.7848073241618</v>
      </c>
      <c r="V463" s="4">
        <f t="shared" si="387"/>
        <v>1.53479766014987</v>
      </c>
      <c r="W463" t="str">
        <f t="shared" si="375"/>
        <v>1-26,5626333355899i</v>
      </c>
      <c r="X463" s="4">
        <f t="shared" si="388"/>
        <v>26.5814501056844</v>
      </c>
      <c r="Y463" s="4">
        <f t="shared" si="389"/>
        <v>-1.5331672273088</v>
      </c>
      <c r="Z463" t="str">
        <f t="shared" si="376"/>
        <v>0,351568787980172+5,5022597623722i</v>
      </c>
      <c r="AA463" s="4">
        <f t="shared" si="390"/>
        <v>5.51348012649924</v>
      </c>
      <c r="AB463" s="4">
        <f t="shared" si="391"/>
        <v>1.50698772238756</v>
      </c>
      <c r="AC463" s="67" t="str">
        <f t="shared" si="392"/>
        <v>-2,02185696110003-0,132685254160118i</v>
      </c>
      <c r="AD463" s="68">
        <f t="shared" si="393"/>
        <v>6.13367214563857</v>
      </c>
      <c r="AE463" s="31">
        <f t="shared" si="394"/>
        <v>-176.245323128341</v>
      </c>
      <c r="AF463" s="32" t="str">
        <f t="shared" si="395"/>
        <v>748,315388573934</v>
      </c>
      <c r="AG463" s="32" t="str">
        <f t="shared" si="377"/>
        <v>1+8814,85906247725i</v>
      </c>
      <c r="AH463" s="32">
        <f t="shared" si="396"/>
        <v>8814.85911919965</v>
      </c>
      <c r="AI463" s="32">
        <f t="shared" si="397"/>
        <v>1.57068288198669</v>
      </c>
      <c r="AJ463" s="32" t="str">
        <f t="shared" si="378"/>
        <v>1+27,7668060468033i</v>
      </c>
      <c r="AK463" s="32">
        <f t="shared" si="398"/>
        <v>27.7848073241618</v>
      </c>
      <c r="AL463" s="32">
        <f t="shared" si="399"/>
        <v>1.53479766014987</v>
      </c>
      <c r="AM463" s="32" t="str">
        <f t="shared" si="379"/>
        <v>1-4,73277491582275i</v>
      </c>
      <c r="AN463" s="32">
        <f t="shared" si="400"/>
        <v>4.83726765890012</v>
      </c>
      <c r="AO463" s="32">
        <f t="shared" si="401"/>
        <v>-1.36256651511158</v>
      </c>
      <c r="AP463" s="30" t="str">
        <f t="shared" si="402"/>
        <v>1,95669160114986-11,2407366651202i</v>
      </c>
      <c r="AQ463" s="32">
        <f t="shared" si="403"/>
        <v>21.1455361753609</v>
      </c>
      <c r="AR463" s="31">
        <f t="shared" si="404"/>
        <v>-80.1253823798826</v>
      </c>
      <c r="AS463" t="str">
        <f t="shared" si="380"/>
        <v>-0,0000504684572142411</v>
      </c>
      <c r="AT463" t="str">
        <f t="shared" si="381"/>
        <v>0,397908247367137i</v>
      </c>
      <c r="AU463">
        <f t="shared" si="405"/>
        <v>0.397908247367137</v>
      </c>
      <c r="AV463">
        <f t="shared" si="406"/>
        <v>1.5707963267949</v>
      </c>
      <c r="AW463" t="str">
        <f t="shared" si="382"/>
        <v>1+20,3721724291648i</v>
      </c>
      <c r="AX463">
        <f t="shared" si="407"/>
        <v>20.3967009460751</v>
      </c>
      <c r="AY463">
        <f t="shared" si="408"/>
        <v>1.52174912778196</v>
      </c>
      <c r="AZ463" t="str">
        <f t="shared" si="383"/>
        <v>1+973,963222304962i</v>
      </c>
      <c r="BA463">
        <f t="shared" si="409"/>
        <v>973.963735671234</v>
      </c>
      <c r="BB463">
        <f t="shared" si="410"/>
        <v>1.56976959434165</v>
      </c>
      <c r="BC463" s="30" t="str">
        <f t="shared" si="411"/>
        <v>-0,000290723004071114+0,00604949357661723i</v>
      </c>
      <c r="BD463" s="32">
        <f t="shared" si="412"/>
        <v>-44.3556010705093</v>
      </c>
      <c r="BE463" s="31">
        <f t="shared" si="413"/>
        <v>92.7513700641197</v>
      </c>
      <c r="BF463" s="30" t="str">
        <f t="shared" si="414"/>
        <v>0,00139047892228655-0,0121926360433281i</v>
      </c>
      <c r="BG463" s="68">
        <f t="shared" si="415"/>
        <v>-38.2219289248707</v>
      </c>
      <c r="BH463" s="31">
        <f t="shared" si="416"/>
        <v>-83.493953064221</v>
      </c>
      <c r="BI463" s="30" t="str">
        <f t="shared" si="423"/>
        <v>0,0674319089917634+0,015104934003833i</v>
      </c>
      <c r="BJ463" s="68">
        <f t="shared" si="417"/>
        <v>-23.2100648951484</v>
      </c>
      <c r="BK463" s="31">
        <f t="shared" si="424"/>
        <v>12.6259876842371</v>
      </c>
      <c r="BL463" s="32">
        <f t="shared" si="418"/>
        <v>-38.2219289248707</v>
      </c>
      <c r="BM463" s="31">
        <f t="shared" si="419"/>
        <v>-83.493953064221</v>
      </c>
      <c r="BO463">
        <f t="shared" si="420"/>
        <v>0</v>
      </c>
      <c r="BP463">
        <f t="shared" si="421"/>
        <v>0</v>
      </c>
    </row>
    <row r="464" spans="14:68">
      <c r="N464" s="7">
        <v>46</v>
      </c>
      <c r="O464" s="18">
        <f t="shared" si="422"/>
        <v>288403.150312661</v>
      </c>
      <c r="P464" s="86" t="str">
        <f t="shared" si="372"/>
        <v>163,636363636364</v>
      </c>
      <c r="Q464" s="4" t="str">
        <f t="shared" si="373"/>
        <v>1+11070,2252126154i</v>
      </c>
      <c r="R464" s="4">
        <f t="shared" si="384"/>
        <v>11070.2252577816</v>
      </c>
      <c r="S464" s="4">
        <f t="shared" si="385"/>
        <v>1.57070599439623</v>
      </c>
      <c r="T464" s="4" t="str">
        <f t="shared" si="374"/>
        <v>1+28,4135780457127i</v>
      </c>
      <c r="U464" s="4">
        <f t="shared" si="386"/>
        <v>28.4311698204595</v>
      </c>
      <c r="V464" s="4">
        <f t="shared" si="387"/>
        <v>1.53561640605154</v>
      </c>
      <c r="W464" t="str">
        <f t="shared" si="375"/>
        <v>1-27,1813565488323i</v>
      </c>
      <c r="X464" s="4">
        <f t="shared" si="388"/>
        <v>27.1997452898873</v>
      </c>
      <c r="Y464" s="4">
        <f t="shared" si="389"/>
        <v>-1.53402298922765</v>
      </c>
      <c r="Z464" t="str">
        <f t="shared" si="376"/>
        <v>0,321009166446792+5,63042385654384i</v>
      </c>
      <c r="AA464" s="4">
        <f t="shared" si="390"/>
        <v>5.6395673317446</v>
      </c>
      <c r="AB464" s="4">
        <f t="shared" si="391"/>
        <v>1.51384465922143</v>
      </c>
      <c r="AC464" s="67" t="str">
        <f t="shared" si="392"/>
        <v>-2,02343909872675-0,11878135399724i</v>
      </c>
      <c r="AD464" s="68">
        <f t="shared" si="393"/>
        <v>6.13674284646732</v>
      </c>
      <c r="AE464" s="31">
        <f t="shared" si="394"/>
        <v>-176.640438087597</v>
      </c>
      <c r="AF464" s="32" t="str">
        <f t="shared" si="395"/>
        <v>748,315388573934</v>
      </c>
      <c r="AG464" s="32" t="str">
        <f t="shared" si="377"/>
        <v>1+9020,18350657547i</v>
      </c>
      <c r="AH464" s="32">
        <f t="shared" si="396"/>
        <v>9020.18356200671</v>
      </c>
      <c r="AI464" s="32">
        <f t="shared" si="397"/>
        <v>1.57068546430577</v>
      </c>
      <c r="AJ464" s="32" t="str">
        <f t="shared" si="378"/>
        <v>1+28,4135780457127i</v>
      </c>
      <c r="AK464" s="32">
        <f t="shared" si="398"/>
        <v>28.4311698204595</v>
      </c>
      <c r="AL464" s="32">
        <f t="shared" si="399"/>
        <v>1.53561640605154</v>
      </c>
      <c r="AM464" s="32" t="str">
        <f t="shared" si="379"/>
        <v>1-4,84301540540356i</v>
      </c>
      <c r="AN464" s="32">
        <f t="shared" si="400"/>
        <v>4.94517929068059</v>
      </c>
      <c r="AO464" s="32">
        <f t="shared" si="401"/>
        <v>-1.36717502485471</v>
      </c>
      <c r="AP464" s="30" t="str">
        <f t="shared" si="402"/>
        <v>1,95669116883426-11,4986674914504i</v>
      </c>
      <c r="AQ464" s="32">
        <f t="shared" si="403"/>
        <v>21.3369214388522</v>
      </c>
      <c r="AR464" s="31">
        <f t="shared" si="404"/>
        <v>-80.3426678093342</v>
      </c>
      <c r="AS464" t="str">
        <f t="shared" si="380"/>
        <v>-0,0000504684572142411</v>
      </c>
      <c r="AT464" t="str">
        <f t="shared" si="381"/>
        <v>0,407176721101507i</v>
      </c>
      <c r="AU464">
        <f t="shared" si="405"/>
        <v>0.407176721101507</v>
      </c>
      <c r="AV464">
        <f t="shared" si="406"/>
        <v>1.5707963267949</v>
      </c>
      <c r="AW464" t="str">
        <f t="shared" si="382"/>
        <v>1+20,8467012842995i</v>
      </c>
      <c r="AX464">
        <f t="shared" si="407"/>
        <v>20.8706721127235</v>
      </c>
      <c r="AY464">
        <f t="shared" si="408"/>
        <v>1.52286384921763</v>
      </c>
      <c r="AZ464" t="str">
        <f t="shared" si="383"/>
        <v>1+996,64974012385i</v>
      </c>
      <c r="BA464">
        <f t="shared" si="409"/>
        <v>996.650241804485</v>
      </c>
      <c r="BB464">
        <f t="shared" si="410"/>
        <v>1.56979296560975</v>
      </c>
      <c r="BC464" s="30" t="str">
        <f t="shared" si="411"/>
        <v>-0,000277668352827689+0,00591241651244087i</v>
      </c>
      <c r="BD464" s="32">
        <f t="shared" si="412"/>
        <v>-44.5551314127415</v>
      </c>
      <c r="BE464" s="31">
        <f t="shared" si="413"/>
        <v>92.688840305547</v>
      </c>
      <c r="BF464" s="30" t="str">
        <f t="shared" si="414"/>
        <v>0,00126412984033397-0,0119304329163195i</v>
      </c>
      <c r="BG464" s="68">
        <f t="shared" si="415"/>
        <v>-38.4183885662741</v>
      </c>
      <c r="BH464" s="31">
        <f t="shared" si="416"/>
        <v>-83.9515977820497</v>
      </c>
      <c r="BI464" s="30" t="str">
        <f t="shared" si="423"/>
        <v>0,0674416003336757+0,0147615892384272i</v>
      </c>
      <c r="BJ464" s="68">
        <f t="shared" si="417"/>
        <v>-23.2182099738892</v>
      </c>
      <c r="BK464" s="31">
        <f t="shared" si="424"/>
        <v>12.3461724962127</v>
      </c>
      <c r="BL464" s="32">
        <f t="shared" si="418"/>
        <v>-38.4183885662741</v>
      </c>
      <c r="BM464" s="31">
        <f t="shared" si="419"/>
        <v>-83.9515977820497</v>
      </c>
      <c r="BO464">
        <f t="shared" si="420"/>
        <v>0</v>
      </c>
      <c r="BP464">
        <f t="shared" si="421"/>
        <v>0</v>
      </c>
    </row>
    <row r="465" spans="14:68">
      <c r="N465" s="7">
        <v>47</v>
      </c>
      <c r="O465" s="18">
        <f t="shared" si="422"/>
        <v>295120.922666639</v>
      </c>
      <c r="P465" s="86" t="str">
        <f t="shared" si="372"/>
        <v>163,636363636364</v>
      </c>
      <c r="Q465" s="4" t="str">
        <f t="shared" si="373"/>
        <v>1+11328,083883039i</v>
      </c>
      <c r="R465" s="4">
        <f t="shared" si="384"/>
        <v>11328.0839271771</v>
      </c>
      <c r="S465" s="4">
        <f t="shared" si="385"/>
        <v>1.57070805061265</v>
      </c>
      <c r="T465" s="4" t="str">
        <f t="shared" si="374"/>
        <v>1+29,0754152998001i</v>
      </c>
      <c r="U465" s="4">
        <f t="shared" si="386"/>
        <v>29.0926068762469</v>
      </c>
      <c r="V465" s="4">
        <f t="shared" si="387"/>
        <v>1.53641656061776</v>
      </c>
      <c r="W465" t="str">
        <f t="shared" si="375"/>
        <v>1-27,8144916771047i</v>
      </c>
      <c r="X465" s="4">
        <f t="shared" si="388"/>
        <v>27.8324621127152</v>
      </c>
      <c r="Y465" s="4">
        <f t="shared" si="389"/>
        <v>-1.53485932369817</v>
      </c>
      <c r="Z465" t="str">
        <f t="shared" si="376"/>
        <v>0,289009314321561+5,76157327597168i</v>
      </c>
      <c r="AA465" s="4">
        <f t="shared" si="390"/>
        <v>5.76881729630569</v>
      </c>
      <c r="AB465" s="4">
        <f t="shared" si="391"/>
        <v>1.52067680803113</v>
      </c>
      <c r="AC465" s="67" t="str">
        <f t="shared" si="392"/>
        <v>-2,02483067030117-0,104909146411908i</v>
      </c>
      <c r="AD465" s="68">
        <f t="shared" si="393"/>
        <v>6.13941684640751</v>
      </c>
      <c r="AE465" s="31">
        <f t="shared" si="394"/>
        <v>-177.03408214774</v>
      </c>
      <c r="AF465" s="32" t="str">
        <f t="shared" si="395"/>
        <v>748,315388573934</v>
      </c>
      <c r="AG465" s="32" t="str">
        <f t="shared" si="377"/>
        <v>1+9230,29057136511i</v>
      </c>
      <c r="AH465" s="32">
        <f t="shared" si="396"/>
        <v>9230.29062553459</v>
      </c>
      <c r="AI465" s="32">
        <f t="shared" si="397"/>
        <v>1.5706879878441</v>
      </c>
      <c r="AJ465" s="32" t="str">
        <f t="shared" si="378"/>
        <v>1+29,0754152998001i</v>
      </c>
      <c r="AK465" s="32">
        <f t="shared" si="398"/>
        <v>29.0926068762469</v>
      </c>
      <c r="AL465" s="32">
        <f t="shared" si="399"/>
        <v>1.53641656061776</v>
      </c>
      <c r="AM465" s="32" t="str">
        <f t="shared" si="379"/>
        <v>1-4,95582372585719i</v>
      </c>
      <c r="AN465" s="32">
        <f t="shared" si="400"/>
        <v>5.05570853607771</v>
      </c>
      <c r="AO465" s="32">
        <f t="shared" si="401"/>
        <v>-1.37168712298629</v>
      </c>
      <c r="AP465" s="30" t="str">
        <f t="shared" si="402"/>
        <v>1,95669075597607-11,762695063483i</v>
      </c>
      <c r="AQ465" s="32">
        <f t="shared" si="403"/>
        <v>21.5286793593862</v>
      </c>
      <c r="AR465" s="31">
        <f t="shared" si="404"/>
        <v>-80.555491097515</v>
      </c>
      <c r="AS465" t="str">
        <f t="shared" si="380"/>
        <v>-0,0000504684572142411</v>
      </c>
      <c r="AT465" t="str">
        <f t="shared" si="381"/>
        <v>0,416661085323027i</v>
      </c>
      <c r="AU465">
        <f t="shared" si="405"/>
        <v>0.416661085323027</v>
      </c>
      <c r="AV465">
        <f t="shared" si="406"/>
        <v>1.5707963267949</v>
      </c>
      <c r="AW465" t="str">
        <f t="shared" si="382"/>
        <v>1+21,3322833363939i</v>
      </c>
      <c r="AX465">
        <f t="shared" si="407"/>
        <v>21.3557091276358</v>
      </c>
      <c r="AY465">
        <f t="shared" si="408"/>
        <v>1.52395331170193</v>
      </c>
      <c r="AZ465" t="str">
        <f t="shared" si="383"/>
        <v>1+1019,86469482717i</v>
      </c>
      <c r="BA465">
        <f t="shared" si="409"/>
        <v>1019.86518508816</v>
      </c>
      <c r="BB465">
        <f t="shared" si="410"/>
        <v>1.5698158048839</v>
      </c>
      <c r="BC465" s="30" t="str">
        <f t="shared" si="411"/>
        <v>-0,000265198620335097+0,00577841802923216i</v>
      </c>
      <c r="BD465" s="32">
        <f t="shared" si="412"/>
        <v>-44.754682845596</v>
      </c>
      <c r="BE465" s="31">
        <f t="shared" si="413"/>
        <v>92.6277272972746</v>
      </c>
      <c r="BF465" s="30" t="str">
        <f t="shared" si="414"/>
        <v>0,00114319120323399-0,0116724962905215i</v>
      </c>
      <c r="BG465" s="68">
        <f t="shared" si="415"/>
        <v>-38.6152659991886</v>
      </c>
      <c r="BH465" s="31">
        <f t="shared" si="416"/>
        <v>-84.4063548504654</v>
      </c>
      <c r="BI465" s="30" t="str">
        <f t="shared" si="423"/>
        <v>0,067450857538283+0,0144260276442222i</v>
      </c>
      <c r="BJ465" s="68">
        <f t="shared" si="417"/>
        <v>-23.2260034862098</v>
      </c>
      <c r="BK465" s="31">
        <f t="shared" si="424"/>
        <v>12.0722361997596</v>
      </c>
      <c r="BL465" s="32">
        <f t="shared" si="418"/>
        <v>-38.6152659991886</v>
      </c>
      <c r="BM465" s="31">
        <f t="shared" si="419"/>
        <v>-84.4063548504654</v>
      </c>
      <c r="BO465">
        <f t="shared" si="420"/>
        <v>0</v>
      </c>
      <c r="BP465">
        <f t="shared" si="421"/>
        <v>0</v>
      </c>
    </row>
    <row r="466" spans="14:68">
      <c r="N466" s="7">
        <v>48</v>
      </c>
      <c r="O466" s="18">
        <f t="shared" si="422"/>
        <v>301995.172040202</v>
      </c>
      <c r="P466" s="86" t="str">
        <f t="shared" si="372"/>
        <v>163,636363636364</v>
      </c>
      <c r="Q466" s="4" t="str">
        <f t="shared" si="373"/>
        <v>1+11591,9488534824i</v>
      </c>
      <c r="R466" s="4">
        <f t="shared" si="384"/>
        <v>11591.9488966158</v>
      </c>
      <c r="S466" s="4">
        <f t="shared" si="385"/>
        <v>1.57071006002387</v>
      </c>
      <c r="T466" s="4" t="str">
        <f t="shared" si="374"/>
        <v>1+29,752668723938i</v>
      </c>
      <c r="U466" s="4">
        <f t="shared" si="386"/>
        <v>29.7694691957448</v>
      </c>
      <c r="V466" s="4">
        <f t="shared" si="387"/>
        <v>1.53719854400035</v>
      </c>
      <c r="W466" t="str">
        <f t="shared" si="375"/>
        <v>1-28,4623744170326i</v>
      </c>
      <c r="X466" s="4">
        <f t="shared" si="388"/>
        <v>28.4799360507595</v>
      </c>
      <c r="Y466" s="4">
        <f t="shared" si="389"/>
        <v>-1.53567666947347</v>
      </c>
      <c r="Z466" t="str">
        <f t="shared" si="376"/>
        <v>0,255501355627822+5,89577755781389i</v>
      </c>
      <c r="AA466" s="4">
        <f t="shared" si="390"/>
        <v>5.90131120632945</v>
      </c>
      <c r="AB466" s="4">
        <f t="shared" si="391"/>
        <v>1.52748709640416</v>
      </c>
      <c r="AC466" s="67" t="str">
        <f t="shared" si="392"/>
        <v>-2,02603380709404-0,0910653653977141i</v>
      </c>
      <c r="AD466" s="68">
        <f t="shared" si="393"/>
        <v>6.14169890179335</v>
      </c>
      <c r="AE466" s="31">
        <f t="shared" si="394"/>
        <v>-177.42642417542</v>
      </c>
      <c r="AF466" s="32" t="str">
        <f t="shared" si="395"/>
        <v>748,315388573934</v>
      </c>
      <c r="AG466" s="32" t="str">
        <f t="shared" si="377"/>
        <v>1+9445,29165839303i</v>
      </c>
      <c r="AH466" s="32">
        <f t="shared" si="396"/>
        <v>9445.29171132946</v>
      </c>
      <c r="AI466" s="32">
        <f t="shared" si="397"/>
        <v>1.57069045393968</v>
      </c>
      <c r="AJ466" s="32" t="str">
        <f t="shared" si="378"/>
        <v>1+29,752668723938i</v>
      </c>
      <c r="AK466" s="32">
        <f t="shared" si="398"/>
        <v>29.7694691957448</v>
      </c>
      <c r="AL466" s="32">
        <f t="shared" si="399"/>
        <v>1.53719854400035</v>
      </c>
      <c r="AM466" s="32" t="str">
        <f t="shared" si="379"/>
        <v>1-5,07125968964836i</v>
      </c>
      <c r="AN466" s="32">
        <f t="shared" si="400"/>
        <v>5.16891428056728</v>
      </c>
      <c r="AO466" s="32">
        <f t="shared" si="401"/>
        <v>-1.37610446663761</v>
      </c>
      <c r="AP466" s="30" t="str">
        <f t="shared" si="402"/>
        <v>1,95669036169955-12,032959372132i</v>
      </c>
      <c r="AQ466" s="32">
        <f t="shared" si="403"/>
        <v>21.72079443991</v>
      </c>
      <c r="AR466" s="31">
        <f t="shared" si="404"/>
        <v>-80.7639231947915</v>
      </c>
      <c r="AS466" t="str">
        <f t="shared" si="380"/>
        <v>-0,0000504684572142411</v>
      </c>
      <c r="AT466" t="str">
        <f t="shared" si="381"/>
        <v>0,426366368767147i</v>
      </c>
      <c r="AU466">
        <f t="shared" si="405"/>
        <v>0.426366368767147</v>
      </c>
      <c r="AV466">
        <f t="shared" si="406"/>
        <v>1.5707963267949</v>
      </c>
      <c r="AW466" t="str">
        <f t="shared" si="382"/>
        <v>1+21,8291760474794i</v>
      </c>
      <c r="AX466">
        <f t="shared" si="407"/>
        <v>21.8520691677436</v>
      </c>
      <c r="AY466">
        <f t="shared" si="408"/>
        <v>1.52501808253149</v>
      </c>
      <c r="AZ466" t="str">
        <f t="shared" si="383"/>
        <v>1+1043,62039529119i</v>
      </c>
      <c r="BA466">
        <f t="shared" si="409"/>
        <v>1043.62087439249</v>
      </c>
      <c r="BB466">
        <f t="shared" si="410"/>
        <v>1.56983812427369</v>
      </c>
      <c r="BC466" s="30" t="str">
        <f t="shared" si="411"/>
        <v>-0,000253287712224222+0,00564743081807948i</v>
      </c>
      <c r="BD466" s="32">
        <f t="shared" si="412"/>
        <v>-44.9542544240056</v>
      </c>
      <c r="BE466" s="31">
        <f t="shared" si="413"/>
        <v>92.5679992294282</v>
      </c>
      <c r="BF466" s="30" t="str">
        <f t="shared" si="414"/>
        <v>0,0010274548188945-0,0114188200225893i</v>
      </c>
      <c r="BG466" s="68">
        <f t="shared" si="415"/>
        <v>-38.8125555222123</v>
      </c>
      <c r="BH466" s="31">
        <f t="shared" si="416"/>
        <v>-84.8584249459918</v>
      </c>
      <c r="BI466" s="30" t="str">
        <f t="shared" si="423"/>
        <v>0,0674596999656305+0,0140980742007554i</v>
      </c>
      <c r="BJ466" s="68">
        <f t="shared" si="417"/>
        <v>-23.2334599840956</v>
      </c>
      <c r="BK466" s="31">
        <f t="shared" si="424"/>
        <v>11.8040760346366</v>
      </c>
      <c r="BL466" s="32">
        <f t="shared" si="418"/>
        <v>-38.8125555222123</v>
      </c>
      <c r="BM466" s="31">
        <f t="shared" si="419"/>
        <v>-84.8584249459918</v>
      </c>
      <c r="BO466">
        <f t="shared" si="420"/>
        <v>0</v>
      </c>
      <c r="BP466">
        <f t="shared" si="421"/>
        <v>0</v>
      </c>
    </row>
    <row r="467" spans="14:68">
      <c r="N467" s="7">
        <v>49</v>
      </c>
      <c r="O467" s="18">
        <f t="shared" si="422"/>
        <v>309029.543251359</v>
      </c>
      <c r="P467" s="86" t="str">
        <f t="shared" ref="P467:P530" si="425">COMPLEX(Adc,0)</f>
        <v>163,636363636364</v>
      </c>
      <c r="Q467" s="4" t="str">
        <f t="shared" ref="Q467:Q530" si="426">IMSUM(COMPLEX(1,0),IMDIV(COMPLEX(0,2*PI()*O467),COMPLEX(wp_lf,0)))</f>
        <v>1+11861,9600286454i</v>
      </c>
      <c r="R467" s="4">
        <f t="shared" si="384"/>
        <v>11861.9600707969</v>
      </c>
      <c r="S467" s="4">
        <f t="shared" si="385"/>
        <v>1.57071202369531</v>
      </c>
      <c r="T467" s="4" t="str">
        <f t="shared" ref="T467:T530" si="427">IMSUM(COMPLEX(1,0),IMDIV(COMPLEX(0,2*PI()*O467),COMPLEX(wz_esr,0)))</f>
        <v>1+30,4456974068565i</v>
      </c>
      <c r="U467" s="4">
        <f t="shared" si="386"/>
        <v>30.4621156617506</v>
      </c>
      <c r="V467" s="4">
        <f t="shared" si="387"/>
        <v>1.53796276698962</v>
      </c>
      <c r="W467" t="str">
        <f t="shared" ref="W467:W530" si="428">IMSUB(COMPLEX(1,0),IMDIV(COMPLEX(0,2*PI()*O467),COMPLEX(wz_rhp,0)))</f>
        <v>1-29,1253482846204i</v>
      </c>
      <c r="X467" s="4">
        <f t="shared" si="388"/>
        <v>29.1425104049126</v>
      </c>
      <c r="Y467" s="4">
        <f t="shared" si="389"/>
        <v>-1.53647545555036</v>
      </c>
      <c r="Z467" t="str">
        <f t="shared" ref="Z467:Z530" si="429">IMSUM(COMPLEX(1,0),IMDIV(COMPLEX(0,2*PI()*O467),COMPLEX(Q*(wsl/2),0)),IMDIV(IMPOWER(COMPLEX(0,2*PI()*O467),2),IMPOWER(COMPLEX(wsl/2,0),2)))</f>
        <v>0,220414215492699+6,03310785895708i</v>
      </c>
      <c r="AA467" s="4">
        <f t="shared" si="390"/>
        <v>6.03713283473214</v>
      </c>
      <c r="AB467" s="4">
        <f t="shared" si="391"/>
        <v>1.53427846008307</v>
      </c>
      <c r="AC467" s="67" t="str">
        <f t="shared" si="392"/>
        <v>-2,02705035850326-0,0772466569423237i</v>
      </c>
      <c r="AD467" s="68">
        <f t="shared" si="393"/>
        <v>6.14359306794377</v>
      </c>
      <c r="AE467" s="31">
        <f t="shared" si="394"/>
        <v>-177.817633480493</v>
      </c>
      <c r="AF467" s="32" t="str">
        <f t="shared" si="395"/>
        <v>748,315388573934</v>
      </c>
      <c r="AG467" s="32" t="str">
        <f t="shared" ref="AG467:AG530" si="430">IMSUM(COMPLEX(1,0),IMDIV(COMPLEX(0,2*PI()*O467),COMPLEX(wp_lf_DCM,0)))</f>
        <v>1+9665,30076408144i</v>
      </c>
      <c r="AH467" s="32">
        <f t="shared" si="396"/>
        <v>9665.30081581289</v>
      </c>
      <c r="AI467" s="32">
        <f t="shared" si="397"/>
        <v>1.57069286390007</v>
      </c>
      <c r="AJ467" s="32" t="str">
        <f t="shared" ref="AJ467:AJ530" si="431">IMSUM(COMPLEX(1,0),IMDIV(COMPLEX(0,2*PI()*O467),COMPLEX(wz1_dcm,0)))</f>
        <v>1+30,4456974068565i</v>
      </c>
      <c r="AK467" s="32">
        <f t="shared" si="398"/>
        <v>30.4621156617506</v>
      </c>
      <c r="AL467" s="32">
        <f t="shared" si="399"/>
        <v>1.53796276698962</v>
      </c>
      <c r="AM467" s="32" t="str">
        <f t="shared" ref="AM467:AM530" si="432">IMSUB(COMPLEX(1,0),IMDIV(COMPLEX(0,2*PI()*O467),COMPLEX(wz2_dcm,0)))</f>
        <v>1-5,18938450245303i</v>
      </c>
      <c r="AN467" s="32">
        <f t="shared" si="400"/>
        <v>5.28485681114443</v>
      </c>
      <c r="AO467" s="32">
        <f t="shared" si="401"/>
        <v>-1.38042870805157</v>
      </c>
      <c r="AP467" s="30" t="str">
        <f t="shared" si="402"/>
        <v>1,9566899851684-12,3096037151113i</v>
      </c>
      <c r="AQ467" s="32">
        <f t="shared" si="403"/>
        <v>21.9132517749469</v>
      </c>
      <c r="AR467" s="31">
        <f t="shared" si="404"/>
        <v>-80.9680353060748</v>
      </c>
      <c r="AS467" t="str">
        <f t="shared" ref="AS467:AS530" si="433">COMPLEX(Adc_ea,0)</f>
        <v>-0,0000504684572142411</v>
      </c>
      <c r="AT467" t="str">
        <f t="shared" ref="AT467:AT530" si="434">COMPLEX(0,2*PI()*O467*wp0_ea)</f>
        <v>0,436297717303613i</v>
      </c>
      <c r="AU467">
        <f t="shared" si="405"/>
        <v>0.436297717303613</v>
      </c>
      <c r="AV467">
        <f t="shared" si="406"/>
        <v>1.5707963267949</v>
      </c>
      <c r="AW467" t="str">
        <f t="shared" ref="AW467:AW530" si="435">IMSUM(COMPLEX(1,0),IMDIV(COMPLEX(0,2*PI()*O467),COMPLEX(wp1_ea,0)))</f>
        <v>1+22,3376428766485i</v>
      </c>
      <c r="AX467">
        <f t="shared" si="407"/>
        <v>22.3600154133374</v>
      </c>
      <c r="AY467">
        <f t="shared" si="408"/>
        <v>1.52605871659905</v>
      </c>
      <c r="AZ467" t="str">
        <f t="shared" ref="AZ467:AZ530" si="436">IMSUM(COMPLEX(1,0),IMDIV(COMPLEX(0,2*PI()*O467),COMPLEX(wz_ea,0)))</f>
        <v>1+1067,92943710275i</v>
      </c>
      <c r="BA467">
        <f t="shared" si="409"/>
        <v>1067.92990529837</v>
      </c>
      <c r="BB467">
        <f t="shared" si="410"/>
        <v>1.56985993561306</v>
      </c>
      <c r="BC467" s="30" t="str">
        <f t="shared" si="411"/>
        <v>-0,000241910688309173+0,00551938891890061i</v>
      </c>
      <c r="BD467" s="32">
        <f t="shared" si="412"/>
        <v>-45.1538452450722</v>
      </c>
      <c r="BE467" s="31">
        <f t="shared" si="413"/>
        <v>92.5096249870311</v>
      </c>
      <c r="BF467" s="30" t="str">
        <f t="shared" si="414"/>
        <v>0,000916719489812458-0,0111693924948259i</v>
      </c>
      <c r="BG467" s="68">
        <f t="shared" si="415"/>
        <v>-39.0102521771284</v>
      </c>
      <c r="BH467" s="31">
        <f t="shared" si="416"/>
        <v>-85.3080084934624</v>
      </c>
      <c r="BI467" s="30" t="str">
        <f t="shared" si="423"/>
        <v>0,0674681461201233+0,013777557729398i</v>
      </c>
      <c r="BJ467" s="68">
        <f t="shared" si="417"/>
        <v>-23.2405934701253</v>
      </c>
      <c r="BK467" s="31">
        <f t="shared" si="424"/>
        <v>11.5415896809563</v>
      </c>
      <c r="BL467" s="32">
        <f t="shared" si="418"/>
        <v>-39.0102521771284</v>
      </c>
      <c r="BM467" s="31">
        <f t="shared" si="419"/>
        <v>-85.3080084934624</v>
      </c>
      <c r="BO467">
        <f t="shared" si="420"/>
        <v>0</v>
      </c>
      <c r="BP467">
        <f t="shared" si="421"/>
        <v>0</v>
      </c>
    </row>
    <row r="468" spans="14:68">
      <c r="N468" s="7">
        <v>50</v>
      </c>
      <c r="O468" s="18">
        <f t="shared" si="422"/>
        <v>316227.766016838</v>
      </c>
      <c r="P468" s="86" t="str">
        <f t="shared" si="425"/>
        <v>163,636363636364</v>
      </c>
      <c r="Q468" s="4" t="str">
        <f t="shared" si="426"/>
        <v>1+12138,2605720272i</v>
      </c>
      <c r="R468" s="4">
        <f t="shared" ref="R468:R531" si="437">IMABS(Q468)</f>
        <v>12138.2606132193</v>
      </c>
      <c r="S468" s="4">
        <f t="shared" ref="S468:S531" si="438">IMARGUMENT(Q468)</f>
        <v>1.57071394266813</v>
      </c>
      <c r="T468" s="4" t="str">
        <f t="shared" si="427"/>
        <v>1+31,1548688015366i</v>
      </c>
      <c r="U468" s="4">
        <f t="shared" ref="U468:U531" si="439">IMABS(T468)</f>
        <v>31.1709135259292</v>
      </c>
      <c r="V468" s="4">
        <f t="shared" ref="V468:V531" si="440">IMARGUMENT(T468)</f>
        <v>1.53870963121399</v>
      </c>
      <c r="W468" t="str">
        <f t="shared" si="428"/>
        <v>1-29,8037647973883i</v>
      </c>
      <c r="X468" s="4">
        <f t="shared" ref="X468:X531" si="441">IMABS(W468)</f>
        <v>29.8205364823982</v>
      </c>
      <c r="Y468" s="4">
        <f t="shared" ref="Y468:Y531" si="442">IMARGUMENT(W468)</f>
        <v>-1.53725610137606</v>
      </c>
      <c r="Z468" t="str">
        <f t="shared" si="429"/>
        <v>0,183673469387751+6,17363699374472i</v>
      </c>
      <c r="AA468" s="4">
        <f t="shared" ref="AA468:AA531" si="443">IMABS(Z468)</f>
        <v>6.17636864782942</v>
      </c>
      <c r="AB468" s="4">
        <f t="shared" ref="AB468:AB531" si="444">IMARGUMENT(Z468)</f>
        <v>1.54105384173271</v>
      </c>
      <c r="AC468" s="67" t="str">
        <f t="shared" ref="AC468:AC531" si="445">(IMDIV(IMPRODUCT(P468,T468,W468),IMPRODUCT(Q468,Z468)))</f>
        <v>-2,02788189105152-0,0634495920382431i</v>
      </c>
      <c r="AD468" s="68">
        <f t="shared" ref="AD468:AD531" si="446">20*LOG(IMABS(AC468))</f>
        <v>6.14510270187122</v>
      </c>
      <c r="AE468" s="31">
        <f t="shared" ref="AE468:AE531" si="447">(180/PI())*IMARGUMENT(AC468)</f>
        <v>-178.207879745834</v>
      </c>
      <c r="AF468" s="32" t="str">
        <f t="shared" ref="AF468:AF531" si="448">COMPLEX($B$68,0)</f>
        <v>748,315388573934</v>
      </c>
      <c r="AG468" s="32" t="str">
        <f t="shared" si="430"/>
        <v>1+9890,43454017035i</v>
      </c>
      <c r="AH468" s="32">
        <f t="shared" ref="AH468:AH531" si="449">IMABS(AG468)</f>
        <v>9890.43459072425</v>
      </c>
      <c r="AI468" s="32">
        <f t="shared" ref="AI468:AI531" si="450">IMARGUMENT(AG468)</f>
        <v>1.57069521900307</v>
      </c>
      <c r="AJ468" s="32" t="str">
        <f t="shared" si="431"/>
        <v>1+31,1548688015366i</v>
      </c>
      <c r="AK468" s="32">
        <f t="shared" ref="AK468:AK531" si="451">IMABS(AJ468)</f>
        <v>31.1709135259292</v>
      </c>
      <c r="AL468" s="32">
        <f t="shared" ref="AL468:AL531" si="452">IMARGUMENT(AJ468)</f>
        <v>1.53870963121399</v>
      </c>
      <c r="AM468" s="32" t="str">
        <f t="shared" si="432"/>
        <v>1-5,31026079561053i</v>
      </c>
      <c r="AN468" s="32">
        <f t="shared" ref="AN468:AN531" si="453">IMABS(AM468)</f>
        <v>5.40359784934058</v>
      </c>
      <c r="AO468" s="32">
        <f t="shared" ref="AO468:AO531" si="454">IMARGUMENT(AM468)</f>
        <v>-1.38466149281298</v>
      </c>
      <c r="AP468" s="30" t="str">
        <f t="shared" ref="AP468:AP531" si="455">(IMDIV(IMPRODUCT(AF468,AJ468,AM468),IMPRODUCT(AG468)))</f>
        <v>1,95668962558395-12,5927747729138i</v>
      </c>
      <c r="AQ468" s="32">
        <f t="shared" ref="AQ468:AQ531" si="456">20*LOG(IMABS(AP468))</f>
        <v>22.1060370325156</v>
      </c>
      <c r="AR468" s="31">
        <f t="shared" ref="AR468:AR531" si="457">(180/PI())*IMARGUMENT(AP468)</f>
        <v>-81.1678987780274</v>
      </c>
      <c r="AS468" t="str">
        <f t="shared" si="433"/>
        <v>-0,0000504684572142411</v>
      </c>
      <c r="AT468" t="str">
        <f t="shared" si="434"/>
        <v>0,446460396664877i</v>
      </c>
      <c r="AU468">
        <f t="shared" ref="AU468:AU531" si="458">IMABS(AT468)</f>
        <v>0.446460396664877</v>
      </c>
      <c r="AV468">
        <f t="shared" ref="AV468:AV531" si="459">IMARGUMENT(AT468)</f>
        <v>1.5707963267949</v>
      </c>
      <c r="AW468" t="str">
        <f t="shared" si="435"/>
        <v>1+22,8579534197445i</v>
      </c>
      <c r="AX468">
        <f t="shared" ref="AX468:AX531" si="460">IMABS(AW468)</f>
        <v>22.8798171876265</v>
      </c>
      <c r="AY468">
        <f t="shared" ref="AY468:AY531" si="461">IMARGUMENT(AW468)</f>
        <v>1.52707575664205</v>
      </c>
      <c r="AZ468" t="str">
        <f t="shared" si="436"/>
        <v>1+1092,80470923757i</v>
      </c>
      <c r="BA468">
        <f t="shared" ref="BA468:BA531" si="462">IMABS(AZ468)</f>
        <v>1092.80516677577</v>
      </c>
      <c r="BB468">
        <f t="shared" ref="BB468:BB531" si="463">IMARGUMENT(AZ468)</f>
        <v>1.5698812504666</v>
      </c>
      <c r="BC468" s="30" t="str">
        <f t="shared" ref="BC468:BC531" si="464">IMPRODUCT(AS468,IMDIV(AZ468,IMPRODUCT(AT468,AW468)))</f>
        <v>-0,000231043712410508+0,00539422770181713i</v>
      </c>
      <c r="BD468" s="32">
        <f t="shared" ref="BD468:BD531" si="465">20*LOG(IMABS(BC468))</f>
        <v>-45.3534544462016</v>
      </c>
      <c r="BE468" s="31">
        <f t="shared" ref="BE468:BE531" si="466">(180/PI())*IMARGUMENT(BC468)</f>
        <v>92.4525741361198</v>
      </c>
      <c r="BF468" s="30" t="str">
        <f t="shared" ref="BF468:BF531" si="467">IMPRODUCT(AC468,BC468)</f>
        <v>0,000810790907480271-0,010924197043428i</v>
      </c>
      <c r="BG468" s="68">
        <f t="shared" ref="BG468:BG531" si="468">20*LOG(IMABS(BF468))</f>
        <v>-39.2083517443304</v>
      </c>
      <c r="BH468" s="31">
        <f t="shared" ref="BH468:BH531" si="469">(180/PI())*IMARGUMENT(BF468)</f>
        <v>-85.7553056097138</v>
      </c>
      <c r="BI468" s="30" t="str">
        <f t="shared" si="423"/>
        <v>0,0674762136876655+0,0134643108152665i</v>
      </c>
      <c r="BJ468" s="68">
        <f t="shared" ref="BJ468:BJ531" si="470">20*LOG(IMABS(BI468))</f>
        <v>-23.2474174136861</v>
      </c>
      <c r="BK468" s="31">
        <f t="shared" si="424"/>
        <v>11.2846753580924</v>
      </c>
      <c r="BL468" s="32">
        <f t="shared" ref="BL468:BL531" si="471">IF($B$31=0,BJ468,BG468)</f>
        <v>-39.2083517443304</v>
      </c>
      <c r="BM468" s="31">
        <f t="shared" ref="BM468:BM531" si="472">IF($B$31=0,BK468,BH468)</f>
        <v>-85.7553056097138</v>
      </c>
      <c r="BO468">
        <f t="shared" ref="BO468:BO531" si="473">SUM((BL469&lt;0)*(BL468&gt;0))*O468</f>
        <v>0</v>
      </c>
      <c r="BP468">
        <f t="shared" ref="BP468:BP531" si="474">IF(BO468&gt;0,BM468,0)</f>
        <v>0</v>
      </c>
    </row>
    <row r="469" spans="14:68">
      <c r="N469" s="7">
        <v>51</v>
      </c>
      <c r="O469" s="18">
        <f t="shared" si="422"/>
        <v>323593.656929628</v>
      </c>
      <c r="P469" s="86" t="str">
        <f t="shared" si="425"/>
        <v>163,636363636364</v>
      </c>
      <c r="Q469" s="4" t="str">
        <f t="shared" si="426"/>
        <v>1+12420,9969818333i</v>
      </c>
      <c r="R469" s="4">
        <f t="shared" si="437"/>
        <v>12420.9970220877</v>
      </c>
      <c r="S469" s="4">
        <f t="shared" si="438"/>
        <v>1.57071581795979</v>
      </c>
      <c r="T469" s="4" t="str">
        <f t="shared" si="427"/>
        <v>1+31,8805589200387i</v>
      </c>
      <c r="U469" s="4">
        <f t="shared" si="439"/>
        <v>31.8962386035416</v>
      </c>
      <c r="V469" s="4">
        <f t="shared" si="440"/>
        <v>1.53943952933601</v>
      </c>
      <c r="W469" t="str">
        <f t="shared" si="428"/>
        <v>1-30,4979836607513i</v>
      </c>
      <c r="X469" s="4">
        <f t="shared" si="441"/>
        <v>30.5143737830461</v>
      </c>
      <c r="Y469" s="4">
        <f t="shared" si="442"/>
        <v>-1.53801901705132</v>
      </c>
      <c r="Z469" t="str">
        <f t="shared" si="429"/>
        <v>0,145201185264569+6,31743947258419i</v>
      </c>
      <c r="AA469" s="4">
        <f t="shared" si="443"/>
        <v>6.31910791757563</v>
      </c>
      <c r="AB469" s="4">
        <f t="shared" si="444"/>
        <v>1.54781618976472</v>
      </c>
      <c r="AC469" s="67" t="str">
        <f t="shared" si="445"/>
        <v>-2,02852968756087-0,0496706794844381i</v>
      </c>
      <c r="AD469" s="68">
        <f t="shared" si="446"/>
        <v>6.14623046443258</v>
      </c>
      <c r="AE469" s="31">
        <f t="shared" si="447"/>
        <v>-178.597332960414</v>
      </c>
      <c r="AF469" s="32" t="str">
        <f t="shared" si="448"/>
        <v>748,315388573934</v>
      </c>
      <c r="AG469" s="32" t="str">
        <f t="shared" si="430"/>
        <v>1+10120,8123555678i</v>
      </c>
      <c r="AH469" s="32">
        <f t="shared" si="449"/>
        <v>10120.8124049709</v>
      </c>
      <c r="AI469" s="32">
        <f t="shared" si="450"/>
        <v>1.57069752049738</v>
      </c>
      <c r="AJ469" s="32" t="str">
        <f t="shared" si="431"/>
        <v>1+31,8805589200387i</v>
      </c>
      <c r="AK469" s="32">
        <f t="shared" si="451"/>
        <v>31.8962386035416</v>
      </c>
      <c r="AL469" s="32">
        <f t="shared" si="452"/>
        <v>1.53943952933601</v>
      </c>
      <c r="AM469" s="32" t="str">
        <f t="shared" si="432"/>
        <v>1-5,43395265933147i</v>
      </c>
      <c r="AN469" s="32">
        <f t="shared" si="453"/>
        <v>5.5252005849431</v>
      </c>
      <c r="AO469" s="32">
        <f t="shared" si="454"/>
        <v>-1.38880445821381</v>
      </c>
      <c r="AP469" s="30" t="str">
        <f t="shared" si="455"/>
        <v>1,95668928218347-12,8826226865827i</v>
      </c>
      <c r="AQ469" s="32">
        <f t="shared" si="456"/>
        <v>22.2991364362037</v>
      </c>
      <c r="AR469" s="31">
        <f t="shared" si="457"/>
        <v>-81.363584994208</v>
      </c>
      <c r="AS469" t="str">
        <f t="shared" si="433"/>
        <v>-0,0000504684572142411</v>
      </c>
      <c r="AT469" t="str">
        <f t="shared" si="434"/>
        <v>0,456859795238054i</v>
      </c>
      <c r="AU469">
        <f t="shared" si="458"/>
        <v>0.456859795238054</v>
      </c>
      <c r="AV469">
        <f t="shared" si="459"/>
        <v>1.5707963267949</v>
      </c>
      <c r="AW469" t="str">
        <f t="shared" si="435"/>
        <v>1+23,3903835523044i</v>
      </c>
      <c r="AX469">
        <f t="shared" si="460"/>
        <v>23.4117500995528</v>
      </c>
      <c r="AY469">
        <f t="shared" si="461"/>
        <v>1.52806973348782</v>
      </c>
      <c r="AZ469" t="str">
        <f t="shared" si="436"/>
        <v>1+1118,25940089421i</v>
      </c>
      <c r="BA469">
        <f t="shared" si="462"/>
        <v>1118.25984801757</v>
      </c>
      <c r="BB469">
        <f t="shared" si="463"/>
        <v>1.56990208013563</v>
      </c>
      <c r="BC469" s="30" t="str">
        <f t="shared" si="464"/>
        <v>-0,000220664004282653+0,00527188384816422i</v>
      </c>
      <c r="BD469" s="32">
        <f t="shared" si="465"/>
        <v>-45.5530812033184</v>
      </c>
      <c r="BE469" s="31">
        <f t="shared" si="466"/>
        <v>92.3968169100477</v>
      </c>
      <c r="BF469" s="30" t="str">
        <f t="shared" si="467"/>
        <v>0,000709481536564772-0,0106832123643433i</v>
      </c>
      <c r="BG469" s="68">
        <f t="shared" si="468"/>
        <v>-39.4068507388858</v>
      </c>
      <c r="BH469" s="31">
        <f t="shared" si="469"/>
        <v>-86.2005160503662</v>
      </c>
      <c r="BI469" s="30" t="str">
        <f t="shared" si="423"/>
        <v>0,0674839195712457+0,013158169730303i</v>
      </c>
      <c r="BJ469" s="68">
        <f t="shared" si="470"/>
        <v>-23.2539447671147</v>
      </c>
      <c r="BK469" s="31">
        <f t="shared" si="424"/>
        <v>11.0332319158398</v>
      </c>
      <c r="BL469" s="32">
        <f t="shared" si="471"/>
        <v>-39.4068507388858</v>
      </c>
      <c r="BM469" s="31">
        <f t="shared" si="472"/>
        <v>-86.2005160503662</v>
      </c>
      <c r="BO469">
        <f t="shared" si="473"/>
        <v>0</v>
      </c>
      <c r="BP469">
        <f t="shared" si="474"/>
        <v>0</v>
      </c>
    </row>
    <row r="470" spans="14:68">
      <c r="N470" s="7">
        <v>52</v>
      </c>
      <c r="O470" s="18">
        <f t="shared" si="422"/>
        <v>331131.121482591</v>
      </c>
      <c r="P470" s="86" t="str">
        <f t="shared" si="425"/>
        <v>163,636363636364</v>
      </c>
      <c r="Q470" s="4" t="str">
        <f t="shared" si="426"/>
        <v>1+12710,3191686503i</v>
      </c>
      <c r="R470" s="4">
        <f t="shared" si="437"/>
        <v>12710.3192079884</v>
      </c>
      <c r="S470" s="4">
        <f t="shared" si="438"/>
        <v>1.57071765056461</v>
      </c>
      <c r="T470" s="4" t="str">
        <f t="shared" si="427"/>
        <v>1+32,6231525328692i</v>
      </c>
      <c r="U470" s="4">
        <f t="shared" si="439"/>
        <v>32.6384754727124</v>
      </c>
      <c r="V470" s="4">
        <f t="shared" si="440"/>
        <v>1.54015284524472</v>
      </c>
      <c r="W470" t="str">
        <f t="shared" si="428"/>
        <v>1-31,2083729587397i</v>
      </c>
      <c r="X470" s="4">
        <f t="shared" si="441"/>
        <v>31.2243901899108</v>
      </c>
      <c r="Y470" s="4">
        <f t="shared" si="442"/>
        <v>-1.53876460352969</v>
      </c>
      <c r="Z470" t="str">
        <f t="shared" si="429"/>
        <v>0,104915758250461+6,46459154145322i</v>
      </c>
      <c r="AA470" s="4">
        <f t="shared" si="443"/>
        <v>6.46544283975644</v>
      </c>
      <c r="AB470" s="4">
        <f t="shared" si="444"/>
        <v>1.55456845721031</v>
      </c>
      <c r="AC470" s="67" t="str">
        <f t="shared" si="445"/>
        <v>-2,02899474648078-0,0359063785114238i</v>
      </c>
      <c r="AD470" s="68">
        <f t="shared" si="446"/>
        <v>6.14697832189355</v>
      </c>
      <c r="AE470" s="31">
        <f t="shared" si="447"/>
        <v>-178.986163355156</v>
      </c>
      <c r="AF470" s="32" t="str">
        <f t="shared" si="448"/>
        <v>748,315388573934</v>
      </c>
      <c r="AG470" s="32" t="str">
        <f t="shared" si="430"/>
        <v>1+10356,556359641i</v>
      </c>
      <c r="AH470" s="32">
        <f t="shared" si="449"/>
        <v>10356.5564079196</v>
      </c>
      <c r="AI470" s="32">
        <f t="shared" si="450"/>
        <v>1.57069976960328</v>
      </c>
      <c r="AJ470" s="32" t="str">
        <f t="shared" si="431"/>
        <v>1+32,6231525328692i</v>
      </c>
      <c r="AK470" s="32">
        <f t="shared" si="451"/>
        <v>32.6384754727124</v>
      </c>
      <c r="AL470" s="32">
        <f t="shared" si="452"/>
        <v>1.54015284524472</v>
      </c>
      <c r="AM470" s="32" t="str">
        <f t="shared" si="432"/>
        <v>1-5,56052567667926i</v>
      </c>
      <c r="AN470" s="32">
        <f t="shared" si="453"/>
        <v>5.64972971043831</v>
      </c>
      <c r="AO470" s="32">
        <f t="shared" si="454"/>
        <v>-1.39285923174696</v>
      </c>
      <c r="AP470" s="30" t="str">
        <f t="shared" si="455"/>
        <v>1,95668895423855-13,1793011373186i</v>
      </c>
      <c r="AQ470" s="32">
        <f t="shared" si="456"/>
        <v>22.4925367474384</v>
      </c>
      <c r="AR470" s="31">
        <f t="shared" si="457"/>
        <v>-81.5551652777859</v>
      </c>
      <c r="AS470" t="str">
        <f t="shared" si="433"/>
        <v>-0,0000504684572142411</v>
      </c>
      <c r="AT470" t="str">
        <f t="shared" si="434"/>
        <v>0,467501426921921i</v>
      </c>
      <c r="AU470">
        <f t="shared" si="458"/>
        <v>0.467501426921921</v>
      </c>
      <c r="AV470">
        <f t="shared" si="459"/>
        <v>1.5707963267949</v>
      </c>
      <c r="AW470" t="str">
        <f t="shared" si="435"/>
        <v>1+23,9352155758321i</v>
      </c>
      <c r="AX470">
        <f t="shared" si="460"/>
        <v>23.9560961899379</v>
      </c>
      <c r="AY470">
        <f t="shared" si="461"/>
        <v>1.52904116629526</v>
      </c>
      <c r="AZ470" t="str">
        <f t="shared" si="436"/>
        <v>1+1144,30700848712i</v>
      </c>
      <c r="BA470">
        <f t="shared" si="462"/>
        <v>1144.30744543271</v>
      </c>
      <c r="BB470">
        <f t="shared" si="463"/>
        <v>1.56992243566426</v>
      </c>
      <c r="BC470" s="30" t="str">
        <f t="shared" si="464"/>
        <v>-0,000210749793564114+0,00515229533119384i</v>
      </c>
      <c r="BD470" s="32">
        <f t="shared" si="465"/>
        <v>-45.7527247291592</v>
      </c>
      <c r="BE470" s="31">
        <f t="shared" si="466"/>
        <v>92.3423241959813</v>
      </c>
      <c r="BF470" s="30" t="str">
        <f t="shared" si="467"/>
        <v>0,000612610490327984-0,0104464128974508i</v>
      </c>
      <c r="BG470" s="68">
        <f t="shared" si="468"/>
        <v>-39.6057464072657</v>
      </c>
      <c r="BH470" s="31">
        <f t="shared" si="469"/>
        <v>-86.6438391591747</v>
      </c>
      <c r="BI470" s="30" t="str">
        <f t="shared" si="423"/>
        <v>0,0674912799250293+0,012858974357531i</v>
      </c>
      <c r="BJ470" s="68">
        <f t="shared" si="470"/>
        <v>-23.2601879817208</v>
      </c>
      <c r="BK470" s="31">
        <f t="shared" si="424"/>
        <v>10.7871589181953</v>
      </c>
      <c r="BL470" s="32">
        <f t="shared" si="471"/>
        <v>-39.6057464072657</v>
      </c>
      <c r="BM470" s="31">
        <f t="shared" si="472"/>
        <v>-86.6438391591747</v>
      </c>
      <c r="BO470">
        <f t="shared" si="473"/>
        <v>0</v>
      </c>
      <c r="BP470">
        <f t="shared" si="474"/>
        <v>0</v>
      </c>
    </row>
    <row r="471" spans="14:68">
      <c r="N471" s="7">
        <v>53</v>
      </c>
      <c r="O471" s="18">
        <f t="shared" si="422"/>
        <v>338844.156139203</v>
      </c>
      <c r="P471" s="86" t="str">
        <f t="shared" si="425"/>
        <v>163,636363636364</v>
      </c>
      <c r="Q471" s="4" t="str">
        <f t="shared" si="426"/>
        <v>1+13006,3805349317i</v>
      </c>
      <c r="R471" s="4">
        <f t="shared" si="437"/>
        <v>13006.3805733744</v>
      </c>
      <c r="S471" s="4">
        <f t="shared" si="438"/>
        <v>1.57071944145425</v>
      </c>
      <c r="T471" s="4" t="str">
        <f t="shared" si="427"/>
        <v>1+33,3830433729914i</v>
      </c>
      <c r="U471" s="4">
        <f t="shared" si="439"/>
        <v>33.3980176783447</v>
      </c>
      <c r="V471" s="4">
        <f t="shared" si="440"/>
        <v>1.54084995424439</v>
      </c>
      <c r="W471" t="str">
        <f t="shared" si="428"/>
        <v>1-31,9353093491627i</v>
      </c>
      <c r="X471" s="4">
        <f t="shared" si="441"/>
        <v>31.9509621643342</v>
      </c>
      <c r="Y471" s="4">
        <f t="shared" si="442"/>
        <v>-1.53949325281334</v>
      </c>
      <c r="Z471" t="str">
        <f t="shared" si="429"/>
        <v>0,062731737553554+6,61517122232655i</v>
      </c>
      <c r="AA471" s="4">
        <f t="shared" si="443"/>
        <v>6.61546865849985</v>
      </c>
      <c r="AB471" s="4">
        <f t="shared" si="444"/>
        <v>1.56131360063243</v>
      </c>
      <c r="AC471" s="67" t="str">
        <f t="shared" si="445"/>
        <v>-2,02927778135074-0,0221531112636363i</v>
      </c>
      <c r="AD471" s="68">
        <f t="shared" si="446"/>
        <v>6.14734754688364</v>
      </c>
      <c r="AE471" s="31">
        <f t="shared" si="447"/>
        <v>-179.374541341028</v>
      </c>
      <c r="AF471" s="32" t="str">
        <f t="shared" si="448"/>
        <v>748,315388573934</v>
      </c>
      <c r="AG471" s="32" t="str">
        <f t="shared" si="430"/>
        <v>1+10597,7915469814i</v>
      </c>
      <c r="AH471" s="32">
        <f t="shared" si="449"/>
        <v>10597.791594161</v>
      </c>
      <c r="AI471" s="32">
        <f t="shared" si="450"/>
        <v>1.57070196751329</v>
      </c>
      <c r="AJ471" s="32" t="str">
        <f t="shared" si="431"/>
        <v>1+33,3830433729914i</v>
      </c>
      <c r="AK471" s="32">
        <f t="shared" si="451"/>
        <v>33.3980176783447</v>
      </c>
      <c r="AL471" s="32">
        <f t="shared" si="452"/>
        <v>1.54084995424439</v>
      </c>
      <c r="AM471" s="32" t="str">
        <f t="shared" si="432"/>
        <v>1-5,69004695834311i</v>
      </c>
      <c r="AN471" s="32">
        <f t="shared" si="453"/>
        <v>5.77725145619867</v>
      </c>
      <c r="AO471" s="32">
        <f t="shared" si="454"/>
        <v>-1.39682742972213</v>
      </c>
      <c r="AP471" s="30" t="str">
        <f t="shared" si="455"/>
        <v>1,95668864105357-13,4829674279634i</v>
      </c>
      <c r="AQ471" s="32">
        <f t="shared" si="456"/>
        <v>22.6862252479864</v>
      </c>
      <c r="AR471" s="31">
        <f t="shared" si="457"/>
        <v>-81.7427108014606</v>
      </c>
      <c r="AS471" t="str">
        <f t="shared" si="433"/>
        <v>-0,0000504684572142411</v>
      </c>
      <c r="AT471" t="str">
        <f t="shared" si="434"/>
        <v>0,478390934050456i</v>
      </c>
      <c r="AU471">
        <f t="shared" si="458"/>
        <v>0.478390934050456</v>
      </c>
      <c r="AV471">
        <f t="shared" si="459"/>
        <v>1.5707963267949</v>
      </c>
      <c r="AW471" t="str">
        <f t="shared" si="435"/>
        <v>1+24,4927383674783i</v>
      </c>
      <c r="AX471">
        <f t="shared" si="460"/>
        <v>24.5131440810383</v>
      </c>
      <c r="AY471">
        <f t="shared" si="461"/>
        <v>1.52999056279293</v>
      </c>
      <c r="AZ471" t="str">
        <f t="shared" si="436"/>
        <v>1+1170,96134280263i</v>
      </c>
      <c r="BA471">
        <f t="shared" si="462"/>
        <v>1170.96176980213</v>
      </c>
      <c r="BB471">
        <f t="shared" si="463"/>
        <v>1.56994232784519</v>
      </c>
      <c r="BC471" s="30" t="str">
        <f t="shared" si="464"/>
        <v>-0,000201280275671711+0,00503540139652698i</v>
      </c>
      <c r="BD471" s="32">
        <f t="shared" si="465"/>
        <v>-45.9523842716398</v>
      </c>
      <c r="BE471" s="31">
        <f t="shared" si="466"/>
        <v>92.2890675215928</v>
      </c>
      <c r="BF471" s="30" t="str">
        <f t="shared" si="467"/>
        <v>0,000520003398639087-0,0102137691898126i</v>
      </c>
      <c r="BG471" s="68">
        <f t="shared" si="468"/>
        <v>-39.8050367247562</v>
      </c>
      <c r="BH471" s="31">
        <f t="shared" si="469"/>
        <v>-87.0854738194351</v>
      </c>
      <c r="BI471" s="30" t="str">
        <f t="shared" si="423"/>
        <v>0,0674983101870197+0,0125665681165028i</v>
      </c>
      <c r="BJ471" s="68">
        <f t="shared" si="470"/>
        <v>-23.2661590236535</v>
      </c>
      <c r="BK471" s="31">
        <f t="shared" si="424"/>
        <v>10.5463567201322</v>
      </c>
      <c r="BL471" s="32">
        <f t="shared" si="471"/>
        <v>-39.8050367247562</v>
      </c>
      <c r="BM471" s="31">
        <f t="shared" si="472"/>
        <v>-87.0854738194351</v>
      </c>
      <c r="BO471">
        <f t="shared" si="473"/>
        <v>0</v>
      </c>
      <c r="BP471">
        <f t="shared" si="474"/>
        <v>0</v>
      </c>
    </row>
    <row r="472" spans="14:68">
      <c r="N472" s="7">
        <v>54</v>
      </c>
      <c r="O472" s="18">
        <f t="shared" si="422"/>
        <v>346736.850452532</v>
      </c>
      <c r="P472" s="86" t="str">
        <f t="shared" si="425"/>
        <v>163,636363636364</v>
      </c>
      <c r="Q472" s="4" t="str">
        <f t="shared" si="426"/>
        <v>1+13309,3380563324i</v>
      </c>
      <c r="R472" s="4">
        <f t="shared" si="437"/>
        <v>13309.3380939</v>
      </c>
      <c r="S472" s="4">
        <f t="shared" si="438"/>
        <v>1.57072119157826</v>
      </c>
      <c r="T472" s="4" t="str">
        <f t="shared" si="427"/>
        <v>1+34,1606343445864i</v>
      </c>
      <c r="U472" s="4">
        <f t="shared" si="439"/>
        <v>34.1752679407863</v>
      </c>
      <c r="V472" s="4">
        <f t="shared" si="440"/>
        <v>1.54153122323977</v>
      </c>
      <c r="W472" t="str">
        <f t="shared" si="428"/>
        <v>1-32,6791782633161i</v>
      </c>
      <c r="X472" s="4">
        <f t="shared" si="441"/>
        <v>32.694474945556</v>
      </c>
      <c r="Y472" s="4">
        <f t="shared" si="442"/>
        <v>-1.5402053481451</v>
      </c>
      <c r="Z472" t="str">
        <f t="shared" si="429"/>
        <v>0,018559645210272+6,76925835454404i</v>
      </c>
      <c r="AA472" s="4">
        <f t="shared" si="443"/>
        <v>6.76928379749251</v>
      </c>
      <c r="AB472" s="4">
        <f t="shared" si="444"/>
        <v>1.56805457906822</v>
      </c>
      <c r="AC472" s="67" t="str">
        <f t="shared" si="445"/>
        <v>-2,02937922038299-0,00840727517384995i</v>
      </c>
      <c r="AD472" s="68">
        <f t="shared" si="446"/>
        <v>6.14733871872549</v>
      </c>
      <c r="AE472" s="31">
        <f t="shared" si="447"/>
        <v>-179.76263744888</v>
      </c>
      <c r="AF472" s="32" t="str">
        <f t="shared" si="448"/>
        <v>748,315388573934</v>
      </c>
      <c r="AG472" s="32" t="str">
        <f t="shared" si="430"/>
        <v>1+10844,6458236782i</v>
      </c>
      <c r="AH472" s="32">
        <f t="shared" si="449"/>
        <v>10844.6458697839</v>
      </c>
      <c r="AI472" s="32">
        <f t="shared" si="450"/>
        <v>1.57070411539275</v>
      </c>
      <c r="AJ472" s="32" t="str">
        <f t="shared" si="431"/>
        <v>1+34,1606343445864i</v>
      </c>
      <c r="AK472" s="32">
        <f t="shared" si="451"/>
        <v>34.1752679407863</v>
      </c>
      <c r="AL472" s="32">
        <f t="shared" si="452"/>
        <v>1.54153122323977</v>
      </c>
      <c r="AM472" s="32" t="str">
        <f t="shared" si="432"/>
        <v>1-5,8225851782209i</v>
      </c>
      <c r="AN472" s="32">
        <f t="shared" si="453"/>
        <v>5.90783362643513</v>
      </c>
      <c r="AO472" s="32">
        <f t="shared" si="454"/>
        <v>-1.40071065599777</v>
      </c>
      <c r="AP472" s="30" t="str">
        <f t="shared" si="455"/>
        <v>1,95668834196425-13,7937825664039i</v>
      </c>
      <c r="AQ472" s="32">
        <f t="shared" si="456"/>
        <v>22.8801897227163</v>
      </c>
      <c r="AR472" s="31">
        <f t="shared" si="457"/>
        <v>-81.9262925042294</v>
      </c>
      <c r="AS472" t="str">
        <f t="shared" si="433"/>
        <v>-0,0000504684572142411</v>
      </c>
      <c r="AT472" t="str">
        <f t="shared" si="434"/>
        <v>0,489534090384476i</v>
      </c>
      <c r="AU472">
        <f t="shared" si="458"/>
        <v>0.489534090384476</v>
      </c>
      <c r="AV472">
        <f t="shared" si="459"/>
        <v>1.5707963267949</v>
      </c>
      <c r="AW472" t="str">
        <f t="shared" si="435"/>
        <v>1+25,0632475332064i</v>
      </c>
      <c r="AX472">
        <f t="shared" si="460"/>
        <v>25.0831891295899</v>
      </c>
      <c r="AY472">
        <f t="shared" si="461"/>
        <v>1.53091841951359</v>
      </c>
      <c r="AZ472" t="str">
        <f t="shared" si="436"/>
        <v>1+1198,23653632159i</v>
      </c>
      <c r="BA472">
        <f t="shared" si="462"/>
        <v>1198.2369536014</v>
      </c>
      <c r="BB472">
        <f t="shared" si="463"/>
        <v>1.56996176722546</v>
      </c>
      <c r="BC472" s="30" t="str">
        <f t="shared" si="464"/>
        <v>-0,000192235569562461+0,00492114254240458i</v>
      </c>
      <c r="BD472" s="32">
        <f t="shared" si="465"/>
        <v>-46.1520591122945</v>
      </c>
      <c r="BE472" s="31">
        <f t="shared" si="466"/>
        <v>92.2370190419518</v>
      </c>
      <c r="BF472" s="30" t="str">
        <f t="shared" si="467"/>
        <v>0,000431492269812282-0,00998524823876706i</v>
      </c>
      <c r="BG472" s="68">
        <f t="shared" si="468"/>
        <v>-40.004720393569</v>
      </c>
      <c r="BH472" s="31">
        <f t="shared" si="469"/>
        <v>-87.5256184069286</v>
      </c>
      <c r="BI472" s="30" t="str">
        <f t="shared" si="423"/>
        <v>0,0675050251103351+0,0122807978899408i</v>
      </c>
      <c r="BJ472" s="68">
        <f t="shared" si="470"/>
        <v>-23.2718693895782</v>
      </c>
      <c r="BK472" s="31">
        <f t="shared" si="424"/>
        <v>10.3107265377225</v>
      </c>
      <c r="BL472" s="32">
        <f t="shared" si="471"/>
        <v>-40.004720393569</v>
      </c>
      <c r="BM472" s="31">
        <f t="shared" si="472"/>
        <v>-87.5256184069286</v>
      </c>
      <c r="BO472">
        <f t="shared" si="473"/>
        <v>0</v>
      </c>
      <c r="BP472">
        <f t="shared" si="474"/>
        <v>0</v>
      </c>
    </row>
    <row r="473" spans="14:68">
      <c r="N473" s="7">
        <v>55</v>
      </c>
      <c r="O473" s="18">
        <f t="shared" si="422"/>
        <v>354813.389233576</v>
      </c>
      <c r="P473" s="86" t="str">
        <f t="shared" si="425"/>
        <v>163,636363636364</v>
      </c>
      <c r="Q473" s="4" t="str">
        <f t="shared" si="426"/>
        <v>1+13619,3523649405i</v>
      </c>
      <c r="R473" s="4">
        <f t="shared" si="437"/>
        <v>13619.352401653</v>
      </c>
      <c r="S473" s="4">
        <f t="shared" si="438"/>
        <v>1.57072290186459</v>
      </c>
      <c r="T473" s="4" t="str">
        <f t="shared" si="427"/>
        <v>1+34,9563377366807i</v>
      </c>
      <c r="U473" s="4">
        <f t="shared" si="439"/>
        <v>34.9706383693648</v>
      </c>
      <c r="V473" s="4">
        <f t="shared" si="440"/>
        <v>1.54219701091766</v>
      </c>
      <c r="W473" t="str">
        <f t="shared" si="428"/>
        <v>1-33,440374110345i</v>
      </c>
      <c r="X473" s="4">
        <f t="shared" si="441"/>
        <v>33.4553227549792</v>
      </c>
      <c r="Y473" s="4">
        <f t="shared" si="442"/>
        <v>-1.54090126419698</v>
      </c>
      <c r="Z473" t="str">
        <f t="shared" si="429"/>
        <v>-0,0276942137095399+6,9269346371429i</v>
      </c>
      <c r="AA473" s="4">
        <f t="shared" si="443"/>
        <v>6.92698999831262</v>
      </c>
      <c r="AB473" s="4">
        <f t="shared" si="444"/>
        <v>1.57479435299311</v>
      </c>
      <c r="AC473" s="67" t="str">
        <f t="shared" si="445"/>
        <v>-2,02929920615395+0,00533474473505942i</v>
      </c>
      <c r="AD473" s="68">
        <f t="shared" si="446"/>
        <v>6.14695172312204</v>
      </c>
      <c r="AE473" s="31">
        <f t="shared" si="447"/>
        <v>179.84937772949</v>
      </c>
      <c r="AF473" s="32" t="str">
        <f t="shared" si="448"/>
        <v>748,315388573934</v>
      </c>
      <c r="AG473" s="32" t="str">
        <f t="shared" si="430"/>
        <v>1+11097,2500751367i</v>
      </c>
      <c r="AH473" s="32">
        <f t="shared" si="449"/>
        <v>11097.2501201929</v>
      </c>
      <c r="AI473" s="32">
        <f t="shared" si="450"/>
        <v>1.57070621438051</v>
      </c>
      <c r="AJ473" s="32" t="str">
        <f t="shared" si="431"/>
        <v>1+34,9563377366807i</v>
      </c>
      <c r="AK473" s="32">
        <f t="shared" si="451"/>
        <v>34.9706383693648</v>
      </c>
      <c r="AL473" s="32">
        <f t="shared" si="452"/>
        <v>1.54219701091766</v>
      </c>
      <c r="AM473" s="32" t="str">
        <f t="shared" si="432"/>
        <v>1-5,95821060983126i</v>
      </c>
      <c r="AN473" s="32">
        <f t="shared" si="453"/>
        <v>6.0415456359367</v>
      </c>
      <c r="AO473" s="32">
        <f t="shared" si="454"/>
        <v>-1.40451050082285</v>
      </c>
      <c r="AP473" s="30" t="str">
        <f t="shared" si="455"/>
        <v>1,95668805633617-14,111911350941i</v>
      </c>
      <c r="AQ473" s="32">
        <f t="shared" si="456"/>
        <v>23.074418442649</v>
      </c>
      <c r="AR473" s="31">
        <f t="shared" si="457"/>
        <v>-82.1059810146562</v>
      </c>
      <c r="AS473" t="str">
        <f t="shared" si="433"/>
        <v>-0,0000504684572142411</v>
      </c>
      <c r="AT473" t="str">
        <f t="shared" si="434"/>
        <v>0,500936804172967i</v>
      </c>
      <c r="AU473">
        <f t="shared" si="458"/>
        <v>0.500936804172967</v>
      </c>
      <c r="AV473">
        <f t="shared" si="459"/>
        <v>1.5707963267949</v>
      </c>
      <c r="AW473" t="str">
        <f t="shared" si="435"/>
        <v>1+25,6470455645281i</v>
      </c>
      <c r="AX473">
        <f t="shared" si="460"/>
        <v>25.666533583423</v>
      </c>
      <c r="AY473">
        <f t="shared" si="461"/>
        <v>1.53182522202503</v>
      </c>
      <c r="AZ473" t="str">
        <f t="shared" si="436"/>
        <v>1+1226,14705071265i</v>
      </c>
      <c r="BA473">
        <f t="shared" si="462"/>
        <v>1226.14745849401</v>
      </c>
      <c r="BB473">
        <f t="shared" si="463"/>
        <v>1.56998076411202</v>
      </c>
      <c r="BC473" s="30" t="str">
        <f t="shared" si="464"/>
        <v>-0,000183596677289253+0,00480946049978378i</v>
      </c>
      <c r="BD473" s="32">
        <f t="shared" si="465"/>
        <v>-46.3517485647827</v>
      </c>
      <c r="BE473" s="31">
        <f t="shared" si="466"/>
        <v>92.1861515266178</v>
      </c>
      <c r="BF473" s="30" t="str">
        <f t="shared" si="467"/>
        <v>0,000346915347395886-0,00976081381564755i</v>
      </c>
      <c r="BG473" s="68">
        <f t="shared" si="468"/>
        <v>-40.2047968416607</v>
      </c>
      <c r="BH473" s="31">
        <f t="shared" si="469"/>
        <v>-87.9644707438926</v>
      </c>
      <c r="BI473" s="30" t="str">
        <f t="shared" si="423"/>
        <v>0,0675114387931662+0,0120015139515808i</v>
      </c>
      <c r="BJ473" s="68">
        <f t="shared" si="470"/>
        <v>-23.2773301221337</v>
      </c>
      <c r="BK473" s="31">
        <f t="shared" si="424"/>
        <v>10.0801705119617</v>
      </c>
      <c r="BL473" s="32">
        <f t="shared" si="471"/>
        <v>-40.2047968416607</v>
      </c>
      <c r="BM473" s="31">
        <f t="shared" si="472"/>
        <v>-87.9644707438926</v>
      </c>
      <c r="BO473">
        <f t="shared" si="473"/>
        <v>0</v>
      </c>
      <c r="BP473">
        <f t="shared" si="474"/>
        <v>0</v>
      </c>
    </row>
    <row r="474" spans="14:68">
      <c r="N474" s="7">
        <v>56</v>
      </c>
      <c r="O474" s="18">
        <f t="shared" si="422"/>
        <v>363078.054770102</v>
      </c>
      <c r="P474" s="86" t="str">
        <f t="shared" si="425"/>
        <v>163,636363636364</v>
      </c>
      <c r="Q474" s="4" t="str">
        <f t="shared" si="426"/>
        <v>1+13936,5878344459i</v>
      </c>
      <c r="R474" s="4">
        <f t="shared" si="437"/>
        <v>13936.5878703227</v>
      </c>
      <c r="S474" s="4">
        <f t="shared" si="438"/>
        <v>1.57072457322005</v>
      </c>
      <c r="T474" s="4" t="str">
        <f t="shared" si="427"/>
        <v>1+35,7705754417445i</v>
      </c>
      <c r="U474" s="4">
        <f t="shared" si="439"/>
        <v>35.7845506808949</v>
      </c>
      <c r="V474" s="4">
        <f t="shared" si="440"/>
        <v>1.54284766792516</v>
      </c>
      <c r="W474" t="str">
        <f t="shared" si="428"/>
        <v>1-34,2193004863628i</v>
      </c>
      <c r="X474" s="4">
        <f t="shared" si="441"/>
        <v>34.2339090051953</v>
      </c>
      <c r="Y474" s="4">
        <f t="shared" si="442"/>
        <v>-1.54158136725508</v>
      </c>
      <c r="Z474" t="str">
        <f t="shared" si="429"/>
        <v>-0,07612794984198+7,08828367217514i</v>
      </c>
      <c r="AA474" s="4">
        <f t="shared" si="443"/>
        <v>7.08869246631364</v>
      </c>
      <c r="AB474" s="4">
        <f t="shared" si="444"/>
        <v>1.58153588329731</v>
      </c>
      <c r="AC474" s="67" t="str">
        <f t="shared" si="445"/>
        <v>-2,02903759539758+0,0190765635849694i</v>
      </c>
      <c r="AD474" s="68">
        <f t="shared" si="446"/>
        <v>6.14618575119158</v>
      </c>
      <c r="AE474" s="31">
        <f t="shared" si="447"/>
        <v>179.461333599563</v>
      </c>
      <c r="AF474" s="32" t="str">
        <f t="shared" si="448"/>
        <v>748,315388573934</v>
      </c>
      <c r="AG474" s="32" t="str">
        <f t="shared" si="430"/>
        <v>1+11355,7382354745i</v>
      </c>
      <c r="AH474" s="32">
        <f t="shared" si="449"/>
        <v>11355.7382795051</v>
      </c>
      <c r="AI474" s="32">
        <f t="shared" si="450"/>
        <v>1.57070826558948</v>
      </c>
      <c r="AJ474" s="32" t="str">
        <f t="shared" si="431"/>
        <v>1+35,7705754417445i</v>
      </c>
      <c r="AK474" s="32">
        <f t="shared" si="451"/>
        <v>35.7845506808949</v>
      </c>
      <c r="AL474" s="32">
        <f t="shared" si="452"/>
        <v>1.54284766792516</v>
      </c>
      <c r="AM474" s="32" t="str">
        <f t="shared" si="432"/>
        <v>1-6,09699516357316i</v>
      </c>
      <c r="AN474" s="32">
        <f t="shared" si="453"/>
        <v>6.17845854761805</v>
      </c>
      <c r="AO474" s="32">
        <f t="shared" si="454"/>
        <v>-1.40822853978273</v>
      </c>
      <c r="AP474" s="30" t="str">
        <f t="shared" si="455"/>
        <v>1,95668778356345-14,4375224576671i</v>
      </c>
      <c r="AQ474" s="32">
        <f t="shared" si="456"/>
        <v>23.2689001483196</v>
      </c>
      <c r="AR474" s="31">
        <f t="shared" si="457"/>
        <v>-82.2818465802991</v>
      </c>
      <c r="AS474" t="str">
        <f t="shared" si="433"/>
        <v>-0,0000504684572142411</v>
      </c>
      <c r="AT474" t="str">
        <f t="shared" si="434"/>
        <v>0,512605121285714i</v>
      </c>
      <c r="AU474">
        <f t="shared" si="458"/>
        <v>0.512605121285714</v>
      </c>
      <c r="AV474">
        <f t="shared" si="459"/>
        <v>1.5707963267949</v>
      </c>
      <c r="AW474" t="str">
        <f t="shared" si="435"/>
        <v>1+26,2444419988867i</v>
      </c>
      <c r="AX474">
        <f t="shared" si="460"/>
        <v>26.2634867417281</v>
      </c>
      <c r="AY474">
        <f t="shared" si="461"/>
        <v>1.53271144515731</v>
      </c>
      <c r="AZ474" t="str">
        <f t="shared" si="436"/>
        <v>1+1254,70768449997i</v>
      </c>
      <c r="BA474">
        <f t="shared" si="462"/>
        <v>1254.7080829991</v>
      </c>
      <c r="BB474">
        <f t="shared" si="463"/>
        <v>1.56999932857721</v>
      </c>
      <c r="BC474" s="30" t="str">
        <f t="shared" si="464"/>
        <v>-0,000175345445278922+0,00470029821232229i</v>
      </c>
      <c r="BD474" s="32">
        <f t="shared" si="465"/>
        <v>-46.5514519734623</v>
      </c>
      <c r="BE474" s="31">
        <f t="shared" si="466"/>
        <v>92.1364383469359</v>
      </c>
      <c r="BF474" s="30" t="str">
        <f t="shared" si="467"/>
        <v>0,000266116962936978-0,00954042677091816i</v>
      </c>
      <c r="BG474" s="68">
        <f t="shared" si="468"/>
        <v>-40.4052662222707</v>
      </c>
      <c r="BH474" s="31">
        <f t="shared" si="469"/>
        <v>-88.4022280535012</v>
      </c>
      <c r="BI474" s="30" t="str">
        <f t="shared" si="423"/>
        <v>0,0675175647074548+0,0117285698952202i</v>
      </c>
      <c r="BJ474" s="68">
        <f t="shared" si="470"/>
        <v>-23.2825518251427</v>
      </c>
      <c r="BK474" s="31">
        <f t="shared" si="424"/>
        <v>9.85459176663676</v>
      </c>
      <c r="BL474" s="32">
        <f t="shared" si="471"/>
        <v>-40.4052662222707</v>
      </c>
      <c r="BM474" s="31">
        <f t="shared" si="472"/>
        <v>-88.4022280535012</v>
      </c>
      <c r="BO474">
        <f t="shared" si="473"/>
        <v>0</v>
      </c>
      <c r="BP474">
        <f t="shared" si="474"/>
        <v>0</v>
      </c>
    </row>
    <row r="475" spans="14:68">
      <c r="N475" s="7">
        <v>57</v>
      </c>
      <c r="O475" s="18">
        <f t="shared" si="422"/>
        <v>371535.229097173</v>
      </c>
      <c r="P475" s="86" t="str">
        <f t="shared" si="425"/>
        <v>163,636363636364</v>
      </c>
      <c r="Q475" s="4" t="str">
        <f t="shared" si="426"/>
        <v>1+14261,2126672937i</v>
      </c>
      <c r="R475" s="4">
        <f t="shared" si="437"/>
        <v>14261.2127023538</v>
      </c>
      <c r="S475" s="4">
        <f t="shared" si="438"/>
        <v>1.57072620653081</v>
      </c>
      <c r="T475" s="4" t="str">
        <f t="shared" si="427"/>
        <v>1+36,6037791793872i</v>
      </c>
      <c r="U475" s="4">
        <f t="shared" si="439"/>
        <v>36.6174364232853</v>
      </c>
      <c r="V475" s="4">
        <f t="shared" si="440"/>
        <v>1.54348353704428</v>
      </c>
      <c r="W475" t="str">
        <f t="shared" si="428"/>
        <v>1-35,0163703884444i</v>
      </c>
      <c r="X475" s="4">
        <f t="shared" si="441"/>
        <v>35.0306465138845</v>
      </c>
      <c r="Y475" s="4">
        <f t="shared" si="442"/>
        <v>-1.54224601540101</v>
      </c>
      <c r="Z475" t="str">
        <f t="shared" si="429"/>
        <v>-0,12684429763502+7,25339100903491i</v>
      </c>
      <c r="AA475" s="4">
        <f t="shared" si="443"/>
        <v>7.25450002452209</v>
      </c>
      <c r="AB475" s="4">
        <f t="shared" si="444"/>
        <v>1.58828213026599</v>
      </c>
      <c r="AC475" s="67" t="str">
        <f t="shared" si="445"/>
        <v>-2,02859395889782+0,0328217843779757i</v>
      </c>
      <c r="AD475" s="68">
        <f t="shared" si="446"/>
        <v>6.14503929784493</v>
      </c>
      <c r="AE475" s="31">
        <f t="shared" si="447"/>
        <v>179.073059622117</v>
      </c>
      <c r="AF475" s="32" t="str">
        <f t="shared" si="448"/>
        <v>748,315388573934</v>
      </c>
      <c r="AG475" s="32" t="str">
        <f t="shared" si="430"/>
        <v>1+11620,2473585356i</v>
      </c>
      <c r="AH475" s="32">
        <f t="shared" si="449"/>
        <v>11620.2474015639</v>
      </c>
      <c r="AI475" s="32">
        <f t="shared" si="450"/>
        <v>1.57071027010723</v>
      </c>
      <c r="AJ475" s="32" t="str">
        <f t="shared" si="431"/>
        <v>1+36,6037791793872i</v>
      </c>
      <c r="AK475" s="32">
        <f t="shared" si="451"/>
        <v>36.6174364232853</v>
      </c>
      <c r="AL475" s="32">
        <f t="shared" si="452"/>
        <v>1.54348353704428</v>
      </c>
      <c r="AM475" s="32" t="str">
        <f t="shared" si="432"/>
        <v>1-6,23901242485407i</v>
      </c>
      <c r="AN475" s="32">
        <f t="shared" si="453"/>
        <v>6.31864511089865</v>
      </c>
      <c r="AO475" s="32">
        <f t="shared" si="454"/>
        <v>-1.41186633284328</v>
      </c>
      <c r="AP475" s="30" t="str">
        <f t="shared" si="455"/>
        <v>1,95668752306754-14,7707885299017i</v>
      </c>
      <c r="AQ475" s="32">
        <f t="shared" si="456"/>
        <v>23.4636240334709</v>
      </c>
      <c r="AR475" s="31">
        <f t="shared" si="457"/>
        <v>-82.4539590029689</v>
      </c>
      <c r="AS475" t="str">
        <f t="shared" si="433"/>
        <v>-0,0000504684572142411</v>
      </c>
      <c r="AT475" t="str">
        <f t="shared" si="434"/>
        <v>0,524545228418897i</v>
      </c>
      <c r="AU475">
        <f t="shared" si="458"/>
        <v>0.524545228418897</v>
      </c>
      <c r="AV475">
        <f t="shared" si="459"/>
        <v>1.5707963267949</v>
      </c>
      <c r="AW475" t="str">
        <f t="shared" si="435"/>
        <v>1+26,8557535837795i</v>
      </c>
      <c r="AX475">
        <f t="shared" si="460"/>
        <v>26.8743651190625</v>
      </c>
      <c r="AY475">
        <f t="shared" si="461"/>
        <v>1.53357755322623</v>
      </c>
      <c r="AZ475" t="str">
        <f t="shared" si="436"/>
        <v>1+1283,93358090963i</v>
      </c>
      <c r="BA475">
        <f t="shared" si="462"/>
        <v>1283.93397033782</v>
      </c>
      <c r="BB475">
        <f t="shared" si="463"/>
        <v>1.57001747046412</v>
      </c>
      <c r="BC475" s="30" t="str">
        <f t="shared" si="464"/>
        <v>-0,000167464527263682+0,00459359981628999i</v>
      </c>
      <c r="BD475" s="32">
        <f t="shared" si="465"/>
        <v>-46.7511687120244</v>
      </c>
      <c r="BE475" s="31">
        <f t="shared" si="466"/>
        <v>92.0878534635368</v>
      </c>
      <c r="BF475" s="30" t="str">
        <f t="shared" si="467"/>
        <v>0,000188947385647806-0,00932404532152482i</v>
      </c>
      <c r="BG475" s="68">
        <f t="shared" si="468"/>
        <v>-40.6061294141795</v>
      </c>
      <c r="BH475" s="31">
        <f t="shared" si="469"/>
        <v>-88.8390869143464</v>
      </c>
      <c r="BI475" s="30" t="str">
        <f t="shared" si="423"/>
        <v>0,0675234157263615+0,0114618225649718i</v>
      </c>
      <c r="BJ475" s="68">
        <f t="shared" si="470"/>
        <v>-23.2875446785535</v>
      </c>
      <c r="BK475" s="31">
        <f t="shared" si="424"/>
        <v>9.63389446056791</v>
      </c>
      <c r="BL475" s="32">
        <f t="shared" si="471"/>
        <v>-40.6061294141795</v>
      </c>
      <c r="BM475" s="31">
        <f t="shared" si="472"/>
        <v>-88.8390869143464</v>
      </c>
      <c r="BO475">
        <f t="shared" si="473"/>
        <v>0</v>
      </c>
      <c r="BP475">
        <f t="shared" si="474"/>
        <v>0</v>
      </c>
    </row>
    <row r="476" spans="14:68">
      <c r="N476" s="7">
        <v>58</v>
      </c>
      <c r="O476" s="18">
        <f t="shared" si="422"/>
        <v>380189.396320562</v>
      </c>
      <c r="P476" s="86" t="str">
        <f t="shared" si="425"/>
        <v>163,636363636364</v>
      </c>
      <c r="Q476" s="4" t="str">
        <f t="shared" si="426"/>
        <v>1+14593,3989838672i</v>
      </c>
      <c r="R476" s="4">
        <f t="shared" si="437"/>
        <v>14593.3990181293</v>
      </c>
      <c r="S476" s="4">
        <f t="shared" si="438"/>
        <v>1.57072780266289</v>
      </c>
      <c r="T476" s="4" t="str">
        <f t="shared" si="427"/>
        <v>1+37,4563907252591i</v>
      </c>
      <c r="U476" s="4">
        <f t="shared" si="439"/>
        <v>37.469737204353</v>
      </c>
      <c r="V476" s="4">
        <f t="shared" si="440"/>
        <v>1.54410495336328</v>
      </c>
      <c r="W476" t="str">
        <f t="shared" si="428"/>
        <v>1-35,8320064336025i</v>
      </c>
      <c r="X476" s="4">
        <f t="shared" si="441"/>
        <v>35.8459577227019</v>
      </c>
      <c r="Y476" s="4">
        <f t="shared" si="442"/>
        <v>-1.54289555868976</v>
      </c>
      <c r="Z476" t="str">
        <f t="shared" si="429"/>
        <v>-0,17995083326199+7,42234418981765i</v>
      </c>
      <c r="AA476" s="4">
        <f t="shared" si="443"/>
        <v>7.42452527603695</v>
      </c>
      <c r="AB476" s="4">
        <f t="shared" si="444"/>
        <v>1.59503605255424</v>
      </c>
      <c r="AC476" s="67" t="str">
        <f t="shared" si="445"/>
        <v>-2,0279675814809+0,0465739856960943i</v>
      </c>
      <c r="AD476" s="68">
        <f t="shared" si="446"/>
        <v>6.14351015950098</v>
      </c>
      <c r="AE476" s="31">
        <f t="shared" si="447"/>
        <v>178.684385371553</v>
      </c>
      <c r="AF476" s="32" t="str">
        <f t="shared" si="448"/>
        <v>748,315388573934</v>
      </c>
      <c r="AG476" s="32" t="str">
        <f t="shared" si="430"/>
        <v>1+11890,9176905585i</v>
      </c>
      <c r="AH476" s="32">
        <f t="shared" si="449"/>
        <v>11890.9177326074</v>
      </c>
      <c r="AI476" s="32">
        <f t="shared" si="450"/>
        <v>1.57071222899659</v>
      </c>
      <c r="AJ476" s="32" t="str">
        <f t="shared" si="431"/>
        <v>1+37,4563907252591i</v>
      </c>
      <c r="AK476" s="32">
        <f t="shared" si="451"/>
        <v>37.469737204353</v>
      </c>
      <c r="AL476" s="32">
        <f t="shared" si="452"/>
        <v>1.54410495336328</v>
      </c>
      <c r="AM476" s="32" t="str">
        <f t="shared" si="432"/>
        <v>1-6,38433769310572i</v>
      </c>
      <c r="AN476" s="32">
        <f t="shared" si="453"/>
        <v>6.46217980093486</v>
      </c>
      <c r="AO476" s="32">
        <f t="shared" si="454"/>
        <v>-1.41542542348778</v>
      </c>
      <c r="AP476" s="30" t="str">
        <f t="shared" si="455"/>
        <v>1,95668727429587-15,1118862697269i</v>
      </c>
      <c r="AQ476" s="32">
        <f t="shared" si="456"/>
        <v>23.6585797290933</v>
      </c>
      <c r="AR476" s="31">
        <f t="shared" si="457"/>
        <v>-82.6223875794967</v>
      </c>
      <c r="AS476" t="str">
        <f t="shared" si="433"/>
        <v>-0,0000504684572142411</v>
      </c>
      <c r="AT476" t="str">
        <f t="shared" si="434"/>
        <v>0,536763456375365i</v>
      </c>
      <c r="AU476">
        <f t="shared" si="458"/>
        <v>0.536763456375365</v>
      </c>
      <c r="AV476">
        <f t="shared" si="459"/>
        <v>1.5707963267949</v>
      </c>
      <c r="AW476" t="str">
        <f t="shared" si="435"/>
        <v>1+27,4813044447003i</v>
      </c>
      <c r="AX476">
        <f t="shared" si="460"/>
        <v>27.4994926131793</v>
      </c>
      <c r="AY476">
        <f t="shared" si="461"/>
        <v>1.53442400025314</v>
      </c>
      <c r="AZ476" t="str">
        <f t="shared" si="436"/>
        <v>1+1313,84023589876i</v>
      </c>
      <c r="BA476">
        <f t="shared" si="462"/>
        <v>1313.84061646248</v>
      </c>
      <c r="BB476">
        <f t="shared" si="463"/>
        <v>1.57003519939175</v>
      </c>
      <c r="BC476" s="30" t="str">
        <f t="shared" si="464"/>
        <v>-0,000159937348799313+0,00448931062044382i</v>
      </c>
      <c r="BD476" s="32">
        <f t="shared" si="465"/>
        <v>-46.9508981821884</v>
      </c>
      <c r="BE476" s="31">
        <f t="shared" si="466"/>
        <v>92.0403714140424</v>
      </c>
      <c r="BF476" s="30" t="str">
        <f t="shared" si="467"/>
        <v>0,000115262669811135-0,00911162532125322i</v>
      </c>
      <c r="BG476" s="68">
        <f t="shared" si="468"/>
        <v>-40.8073880226874</v>
      </c>
      <c r="BH476" s="31">
        <f t="shared" si="469"/>
        <v>-89.2752432144051</v>
      </c>
      <c r="BI476" s="30" t="str">
        <f t="shared" si="423"/>
        <v>0,0675290041505439+0,0112011319867206i</v>
      </c>
      <c r="BJ476" s="68">
        <f t="shared" si="470"/>
        <v>-23.2923184530951</v>
      </c>
      <c r="BK476" s="31">
        <f t="shared" si="424"/>
        <v>9.41798383454569</v>
      </c>
      <c r="BL476" s="32">
        <f t="shared" si="471"/>
        <v>-40.8073880226874</v>
      </c>
      <c r="BM476" s="31">
        <f t="shared" si="472"/>
        <v>-89.2752432144051</v>
      </c>
      <c r="BO476">
        <f t="shared" si="473"/>
        <v>0</v>
      </c>
      <c r="BP476">
        <f t="shared" si="474"/>
        <v>0</v>
      </c>
    </row>
    <row r="477" spans="14:68">
      <c r="N477" s="7">
        <v>59</v>
      </c>
      <c r="O477" s="18">
        <f t="shared" si="422"/>
        <v>389045.144994281</v>
      </c>
      <c r="P477" s="86" t="str">
        <f t="shared" si="425"/>
        <v>163,636363636364</v>
      </c>
      <c r="Q477" s="4" t="str">
        <f t="shared" si="426"/>
        <v>1+14933,3229137484i</v>
      </c>
      <c r="R477" s="4">
        <f t="shared" si="437"/>
        <v>14933.3229472306</v>
      </c>
      <c r="S477" s="4">
        <f t="shared" si="438"/>
        <v>1.57072936246256</v>
      </c>
      <c r="T477" s="4" t="str">
        <f t="shared" si="427"/>
        <v>1+38,3288621452875i</v>
      </c>
      <c r="U477" s="4">
        <f t="shared" si="439"/>
        <v>38.3419049259743</v>
      </c>
      <c r="V477" s="4">
        <f t="shared" si="440"/>
        <v>1.54471224444449</v>
      </c>
      <c r="W477" t="str">
        <f t="shared" si="428"/>
        <v>1-36,6666410828643i</v>
      </c>
      <c r="X477" s="4">
        <f t="shared" si="441"/>
        <v>36.6802749212651</v>
      </c>
      <c r="Y477" s="4">
        <f t="shared" si="442"/>
        <v>-1.54353033932416</v>
      </c>
      <c r="Z477" t="str">
        <f t="shared" si="429"/>
        <v>-0,23556020280508+7,59523279573618i</v>
      </c>
      <c r="AA477" s="4">
        <f t="shared" si="443"/>
        <v>7.59888477545041</v>
      </c>
      <c r="AB477" s="4">
        <f t="shared" si="444"/>
        <v>1.60180060614766</v>
      </c>
      <c r="AC477" s="67" t="str">
        <f t="shared" si="445"/>
        <v>-2,02715746211231+0,0603367093291124i</v>
      </c>
      <c r="AD477" s="68">
        <f t="shared" si="446"/>
        <v>6.1415954311412</v>
      </c>
      <c r="AE477" s="31">
        <f t="shared" si="447"/>
        <v>178.295140595043</v>
      </c>
      <c r="AF477" s="32" t="str">
        <f t="shared" si="448"/>
        <v>748,315388573934</v>
      </c>
      <c r="AG477" s="32" t="str">
        <f t="shared" si="430"/>
        <v>1+12167,8927445357i</v>
      </c>
      <c r="AH477" s="32">
        <f t="shared" si="449"/>
        <v>12167.8927856274</v>
      </c>
      <c r="AI477" s="32">
        <f t="shared" si="450"/>
        <v>1.57071414329618</v>
      </c>
      <c r="AJ477" s="32" t="str">
        <f t="shared" si="431"/>
        <v>1+38,3288621452875i</v>
      </c>
      <c r="AK477" s="32">
        <f t="shared" si="451"/>
        <v>38.3419049259743</v>
      </c>
      <c r="AL477" s="32">
        <f t="shared" si="452"/>
        <v>1.54471224444449</v>
      </c>
      <c r="AM477" s="32" t="str">
        <f t="shared" si="432"/>
        <v>1-6,53304802170896i</v>
      </c>
      <c r="AN477" s="32">
        <f t="shared" si="453"/>
        <v>6.60913885872852</v>
      </c>
      <c r="AO477" s="32">
        <f t="shared" si="454"/>
        <v>-1.41890733794126</v>
      </c>
      <c r="AP477" s="30" t="str">
        <f t="shared" si="455"/>
        <v>1,95668703672079-15,4609965316802i</v>
      </c>
      <c r="AQ477" s="32">
        <f t="shared" si="456"/>
        <v>23.8537572878288</v>
      </c>
      <c r="AR477" s="31">
        <f t="shared" si="457"/>
        <v>-82.7872010477049</v>
      </c>
      <c r="AS477" t="str">
        <f t="shared" si="433"/>
        <v>-0,0000504684572142411</v>
      </c>
      <c r="AT477" t="str">
        <f t="shared" si="434"/>
        <v>0,549266283421307i</v>
      </c>
      <c r="AU477">
        <f t="shared" si="458"/>
        <v>0.549266283421307</v>
      </c>
      <c r="AV477">
        <f t="shared" si="459"/>
        <v>1.5707963267949</v>
      </c>
      <c r="AW477" t="str">
        <f t="shared" si="435"/>
        <v>1+28,1214262569958i</v>
      </c>
      <c r="AX477">
        <f t="shared" si="460"/>
        <v>28.1392006767721</v>
      </c>
      <c r="AY477">
        <f t="shared" si="461"/>
        <v>1.53525123018104</v>
      </c>
      <c r="AZ477" t="str">
        <f t="shared" si="436"/>
        <v>1+1344,44350637169i</v>
      </c>
      <c r="BA477">
        <f t="shared" si="462"/>
        <v>1344.44387827272</v>
      </c>
      <c r="BB477">
        <f t="shared" si="463"/>
        <v>1.57005252476019</v>
      </c>
      <c r="BC477" s="30" t="str">
        <f t="shared" si="464"/>
        <v>-0,000152748073305764+0,00438737708589881i</v>
      </c>
      <c r="BD477" s="32">
        <f t="shared" si="465"/>
        <v>-47.1506398124548</v>
      </c>
      <c r="BE477" s="31">
        <f t="shared" si="466"/>
        <v>91.9939673009767</v>
      </c>
      <c r="BF477" s="30" t="str">
        <f t="shared" si="467"/>
        <v>0,0000449245006759729-0,00890312051487997i</v>
      </c>
      <c r="BG477" s="68">
        <f t="shared" si="468"/>
        <v>-41.0090443813136</v>
      </c>
      <c r="BH477" s="31">
        <f t="shared" si="469"/>
        <v>-89.7108921039805</v>
      </c>
      <c r="BI477" s="30" t="str">
        <f t="shared" si="423"/>
        <v>0,0675343417333332+0,0109463613007853i</v>
      </c>
      <c r="BJ477" s="68">
        <f t="shared" si="470"/>
        <v>-23.296882524626</v>
      </c>
      <c r="BK477" s="31">
        <f t="shared" si="424"/>
        <v>9.20676625327183</v>
      </c>
      <c r="BL477" s="32">
        <f t="shared" si="471"/>
        <v>-41.0090443813136</v>
      </c>
      <c r="BM477" s="31">
        <f t="shared" si="472"/>
        <v>-89.7108921039805</v>
      </c>
      <c r="BO477">
        <f t="shared" si="473"/>
        <v>0</v>
      </c>
      <c r="BP477">
        <f t="shared" si="474"/>
        <v>0</v>
      </c>
    </row>
    <row r="478" spans="14:68">
      <c r="N478" s="7">
        <v>60</v>
      </c>
      <c r="O478" s="18">
        <f t="shared" si="422"/>
        <v>398107.170553497</v>
      </c>
      <c r="P478" s="86" t="str">
        <f t="shared" si="425"/>
        <v>163,636363636364</v>
      </c>
      <c r="Q478" s="4" t="str">
        <f t="shared" si="426"/>
        <v>1+15281,1646891043i</v>
      </c>
      <c r="R478" s="4">
        <f t="shared" si="437"/>
        <v>15281.1647218243</v>
      </c>
      <c r="S478" s="4">
        <f t="shared" si="438"/>
        <v>1.57073088675686</v>
      </c>
      <c r="T478" s="4" t="str">
        <f t="shared" si="427"/>
        <v>1+39,2216560353677i</v>
      </c>
      <c r="U478" s="4">
        <f t="shared" si="439"/>
        <v>39.2344020236921</v>
      </c>
      <c r="V478" s="4">
        <f t="shared" si="440"/>
        <v>1.54530573048889</v>
      </c>
      <c r="W478" t="str">
        <f t="shared" si="428"/>
        <v>1-37,5207168705686i</v>
      </c>
      <c r="X478" s="4">
        <f t="shared" si="441"/>
        <v>37.5340404763645</v>
      </c>
      <c r="Y478" s="4">
        <f t="shared" si="442"/>
        <v>-1.54415069182586</v>
      </c>
      <c r="Z478" t="str">
        <f t="shared" si="429"/>
        <v>-0,29379036119275+7,77214849461777i</v>
      </c>
      <c r="AA478" s="4">
        <f t="shared" si="443"/>
        <v>7.77769920983828</v>
      </c>
      <c r="AB478" s="4">
        <f t="shared" si="444"/>
        <v>1.60857874329999</v>
      </c>
      <c r="AC478" s="67" t="str">
        <f t="shared" si="445"/>
        <v>-2,0261623141078+0,0741134477947465i</v>
      </c>
      <c r="AD478" s="68">
        <f t="shared" si="446"/>
        <v>6.13929150271001</v>
      </c>
      <c r="AE478" s="31">
        <f t="shared" si="447"/>
        <v>177.90515527301</v>
      </c>
      <c r="AF478" s="32" t="str">
        <f t="shared" si="448"/>
        <v>748,315388573934</v>
      </c>
      <c r="AG478" s="32" t="str">
        <f t="shared" si="430"/>
        <v>1+12451,3193763072i</v>
      </c>
      <c r="AH478" s="32">
        <f t="shared" si="449"/>
        <v>12451.3194164636</v>
      </c>
      <c r="AI478" s="32">
        <f t="shared" si="450"/>
        <v>1.57071601402099</v>
      </c>
      <c r="AJ478" s="32" t="str">
        <f t="shared" si="431"/>
        <v>1+39,2216560353677i</v>
      </c>
      <c r="AK478" s="32">
        <f t="shared" si="451"/>
        <v>39.2344020236921</v>
      </c>
      <c r="AL478" s="32">
        <f t="shared" si="452"/>
        <v>1.54530573048889</v>
      </c>
      <c r="AM478" s="32" t="str">
        <f t="shared" si="432"/>
        <v>1-6,68522225884841i</v>
      </c>
      <c r="AN478" s="32">
        <f t="shared" si="453"/>
        <v>6.75960033213519</v>
      </c>
      <c r="AO478" s="32">
        <f t="shared" si="454"/>
        <v>-1.42231358447705</v>
      </c>
      <c r="AP478" s="30" t="str">
        <f t="shared" si="455"/>
        <v>1,95668680983833-15,8183044186431i</v>
      </c>
      <c r="AQ478" s="32">
        <f t="shared" si="456"/>
        <v>24.0491471687447</v>
      </c>
      <c r="AR478" s="31">
        <f t="shared" si="457"/>
        <v>-82.9484675372791</v>
      </c>
      <c r="AS478" t="str">
        <f t="shared" si="433"/>
        <v>-0,0000504684572142411</v>
      </c>
      <c r="AT478" t="str">
        <f t="shared" si="434"/>
        <v>0,562060338721117i</v>
      </c>
      <c r="AU478">
        <f t="shared" si="458"/>
        <v>0.562060338721117</v>
      </c>
      <c r="AV478">
        <f t="shared" si="459"/>
        <v>1.5707963267949</v>
      </c>
      <c r="AW478" t="str">
        <f t="shared" si="435"/>
        <v>1+28,7764584217237i</v>
      </c>
      <c r="AX478">
        <f t="shared" si="460"/>
        <v>28.7938284932239</v>
      </c>
      <c r="AY478">
        <f t="shared" si="461"/>
        <v>1.53605967708696</v>
      </c>
      <c r="AZ478" t="str">
        <f t="shared" si="436"/>
        <v>1+1375,75961858751i</v>
      </c>
      <c r="BA478">
        <f t="shared" si="462"/>
        <v>1375.75998202305</v>
      </c>
      <c r="BB478">
        <f t="shared" si="463"/>
        <v>1.57006945575553</v>
      </c>
      <c r="BC478" s="30" t="str">
        <f t="shared" si="464"/>
        <v>-0,000145881569568151+0,00428774680602556i</v>
      </c>
      <c r="BD478" s="32">
        <f t="shared" si="465"/>
        <v>-47.3503930569126</v>
      </c>
      <c r="BE478" s="31">
        <f t="shared" si="466"/>
        <v>91.948616779883</v>
      </c>
      <c r="BF478" s="30" t="str">
        <f t="shared" si="467"/>
        <v>-0,0000221999604835835-0,00869848277689548i</v>
      </c>
      <c r="BG478" s="68">
        <f t="shared" si="468"/>
        <v>-41.2111015542026</v>
      </c>
      <c r="BH478" s="31">
        <f t="shared" si="469"/>
        <v>-90.1462279471072</v>
      </c>
      <c r="BI478" s="30" t="str">
        <f t="shared" si="423"/>
        <v>0,0675394397048044+0,0106973766957751i</v>
      </c>
      <c r="BJ478" s="68">
        <f t="shared" si="470"/>
        <v>-23.301245888168</v>
      </c>
      <c r="BK478" s="31">
        <f t="shared" si="424"/>
        <v>9.00014924260391</v>
      </c>
      <c r="BL478" s="32">
        <f t="shared" si="471"/>
        <v>-41.2111015542026</v>
      </c>
      <c r="BM478" s="31">
        <f t="shared" si="472"/>
        <v>-90.1462279471072</v>
      </c>
      <c r="BO478">
        <f t="shared" si="473"/>
        <v>0</v>
      </c>
      <c r="BP478">
        <f t="shared" si="474"/>
        <v>0</v>
      </c>
    </row>
    <row r="479" spans="14:68">
      <c r="N479" s="7">
        <v>61</v>
      </c>
      <c r="O479" s="18">
        <f t="shared" si="422"/>
        <v>407380.277804113</v>
      </c>
      <c r="P479" s="86" t="str">
        <f t="shared" si="425"/>
        <v>163,636363636364</v>
      </c>
      <c r="Q479" s="4" t="str">
        <f t="shared" si="426"/>
        <v>1+15637,1087402486i</v>
      </c>
      <c r="R479" s="4">
        <f t="shared" si="437"/>
        <v>15637.1087722238</v>
      </c>
      <c r="S479" s="4">
        <f t="shared" si="438"/>
        <v>1.57073237635398</v>
      </c>
      <c r="T479" s="4" t="str">
        <f t="shared" si="427"/>
        <v>1+40,1352457666379i</v>
      </c>
      <c r="U479" s="4">
        <f t="shared" si="439"/>
        <v>40.1477017119091</v>
      </c>
      <c r="V479" s="4">
        <f t="shared" si="440"/>
        <v>1.54588572449735</v>
      </c>
      <c r="W479" t="str">
        <f t="shared" si="428"/>
        <v>1-38,3946866390031i</v>
      </c>
      <c r="X479" s="4">
        <f t="shared" si="441"/>
        <v>38.4077070665152</v>
      </c>
      <c r="Y479" s="4">
        <f t="shared" si="442"/>
        <v>-1.54475694320301</v>
      </c>
      <c r="Z479" t="str">
        <f t="shared" si="429"/>
        <v>-0,35476482239802+7,95318508950779i</v>
      </c>
      <c r="AA479" s="4">
        <f t="shared" si="443"/>
        <v>7.96109358990209</v>
      </c>
      <c r="AB479" s="4">
        <f t="shared" si="444"/>
        <v>1.61537341143851</v>
      </c>
      <c r="AC479" s="67" t="str">
        <f t="shared" si="445"/>
        <v>-2,02498056547063+0,087907631715812i</v>
      </c>
      <c r="AD479" s="68">
        <f t="shared" si="446"/>
        <v>6.13659405486687</v>
      </c>
      <c r="AE479" s="31">
        <f t="shared" si="447"/>
        <v>177.514259681446</v>
      </c>
      <c r="AF479" s="32" t="str">
        <f t="shared" si="448"/>
        <v>748,315388573934</v>
      </c>
      <c r="AG479" s="32" t="str">
        <f t="shared" si="430"/>
        <v>1+12741,3478624247i</v>
      </c>
      <c r="AH479" s="32">
        <f t="shared" si="449"/>
        <v>12741.347901667</v>
      </c>
      <c r="AI479" s="32">
        <f t="shared" si="450"/>
        <v>1.57071784216291</v>
      </c>
      <c r="AJ479" s="32" t="str">
        <f t="shared" si="431"/>
        <v>1+40,1352457666379i</v>
      </c>
      <c r="AK479" s="32">
        <f t="shared" si="451"/>
        <v>40.1477017119091</v>
      </c>
      <c r="AL479" s="32">
        <f t="shared" si="452"/>
        <v>1.54588572449735</v>
      </c>
      <c r="AM479" s="32" t="str">
        <f t="shared" si="432"/>
        <v>1-6,84094108931889i</v>
      </c>
      <c r="AN479" s="32">
        <f t="shared" si="453"/>
        <v>6.91364411779573</v>
      </c>
      <c r="AO479" s="32">
        <f t="shared" si="454"/>
        <v>-1.42564565280064</v>
      </c>
      <c r="AP479" s="30" t="str">
        <f t="shared" si="455"/>
        <v>1,95668659316727-16,1839993799873i</v>
      </c>
      <c r="AQ479" s="32">
        <f t="shared" si="456"/>
        <v>24.2447402224899</v>
      </c>
      <c r="AR479" s="31">
        <f t="shared" si="457"/>
        <v>-83.1062545252588</v>
      </c>
      <c r="AS479" t="str">
        <f t="shared" si="433"/>
        <v>-0,0000504684572142411</v>
      </c>
      <c r="AT479" t="str">
        <f t="shared" si="434"/>
        <v>0,575152405852267i</v>
      </c>
      <c r="AU479">
        <f t="shared" si="458"/>
        <v>0.575152405852267</v>
      </c>
      <c r="AV479">
        <f t="shared" si="459"/>
        <v>1.5707963267949</v>
      </c>
      <c r="AW479" t="str">
        <f t="shared" si="435"/>
        <v>1+29,4467482456084i</v>
      </c>
      <c r="AX479">
        <f t="shared" si="460"/>
        <v>29.4637231564553</v>
      </c>
      <c r="AY479">
        <f t="shared" si="461"/>
        <v>1.5368497653906</v>
      </c>
      <c r="AZ479" t="str">
        <f t="shared" si="436"/>
        <v>1+1407,80517676345i</v>
      </c>
      <c r="BA479">
        <f t="shared" si="462"/>
        <v>1407.80553192618</v>
      </c>
      <c r="BB479">
        <f t="shared" si="463"/>
        <v>1.57008600135476</v>
      </c>
      <c r="BC479" s="30" t="str">
        <f t="shared" si="464"/>
        <v>-0,000139323380638356+0,00419036848640176i</v>
      </c>
      <c r="BD479" s="32">
        <f t="shared" si="465"/>
        <v>-47.5501573940993</v>
      </c>
      <c r="BE479" s="31">
        <f t="shared" si="466"/>
        <v>91.904296047647</v>
      </c>
      <c r="BF479" s="30" t="str">
        <f t="shared" si="467"/>
        <v>-0,0000862382315478126-0,0084976623355587i</v>
      </c>
      <c r="BG479" s="68">
        <f t="shared" si="468"/>
        <v>-41.4135633392324</v>
      </c>
      <c r="BH479" s="31">
        <f t="shared" si="469"/>
        <v>-90.5814442709073</v>
      </c>
      <c r="BI479" s="30" t="str">
        <f t="shared" si="423"/>
        <v>0,0675443087948346+0,0104540473436418i</v>
      </c>
      <c r="BJ479" s="68">
        <f t="shared" si="470"/>
        <v>-23.3054171716093</v>
      </c>
      <c r="BK479" s="31">
        <f t="shared" si="424"/>
        <v>8.79804152238815</v>
      </c>
      <c r="BL479" s="32">
        <f t="shared" si="471"/>
        <v>-41.4135633392324</v>
      </c>
      <c r="BM479" s="31">
        <f t="shared" si="472"/>
        <v>-90.5814442709073</v>
      </c>
      <c r="BO479">
        <f t="shared" si="473"/>
        <v>0</v>
      </c>
      <c r="BP479">
        <f t="shared" si="474"/>
        <v>0</v>
      </c>
    </row>
    <row r="480" spans="14:68">
      <c r="N480" s="7">
        <v>62</v>
      </c>
      <c r="O480" s="18">
        <f t="shared" si="422"/>
        <v>416869.383470336</v>
      </c>
      <c r="P480" s="86" t="str">
        <f t="shared" si="425"/>
        <v>163,636363636364</v>
      </c>
      <c r="Q480" s="4" t="str">
        <f t="shared" si="426"/>
        <v>1+16001,3437934285i</v>
      </c>
      <c r="R480" s="4">
        <f t="shared" si="437"/>
        <v>16001.3438246759</v>
      </c>
      <c r="S480" s="4">
        <f t="shared" si="438"/>
        <v>1.57073383204373</v>
      </c>
      <c r="T480" s="4" t="str">
        <f t="shared" si="427"/>
        <v>1+41,0701157364665i</v>
      </c>
      <c r="U480" s="4">
        <f t="shared" si="439"/>
        <v>41.0822882347947</v>
      </c>
      <c r="V480" s="4">
        <f t="shared" si="440"/>
        <v>1.54645253242864</v>
      </c>
      <c r="W480" t="str">
        <f t="shared" si="428"/>
        <v>1-39,2890137785075i</v>
      </c>
      <c r="X480" s="4">
        <f t="shared" si="441"/>
        <v>39.3017379219768</v>
      </c>
      <c r="Y480" s="4">
        <f t="shared" si="442"/>
        <v>-1.54534941311451</v>
      </c>
      <c r="Z480" t="str">
        <f t="shared" si="429"/>
        <v>-0,41861292142808+8,13843856840512i</v>
      </c>
      <c r="AA480" s="4">
        <f t="shared" si="443"/>
        <v>8.14919745187773</v>
      </c>
      <c r="AB480" s="4">
        <f t="shared" si="444"/>
        <v>1.62218755202853</v>
      </c>
      <c r="AC480" s="67" t="str">
        <f t="shared" si="445"/>
        <v>-2,02361035937269+0,101722617019773i</v>
      </c>
      <c r="AD480" s="68">
        <f t="shared" si="446"/>
        <v>6.13349805410606</v>
      </c>
      <c r="AE480" s="31">
        <f t="shared" si="447"/>
        <v>177.122284456589</v>
      </c>
      <c r="AF480" s="32" t="str">
        <f t="shared" si="448"/>
        <v>748,315388573934</v>
      </c>
      <c r="AG480" s="32" t="str">
        <f t="shared" si="430"/>
        <v>1+13038,1319798306i</v>
      </c>
      <c r="AH480" s="32">
        <f t="shared" si="449"/>
        <v>13038.1320181796</v>
      </c>
      <c r="AI480" s="32">
        <f t="shared" si="450"/>
        <v>1.57071962869124</v>
      </c>
      <c r="AJ480" s="32" t="str">
        <f t="shared" si="431"/>
        <v>1+41,0701157364665i</v>
      </c>
      <c r="AK480" s="32">
        <f t="shared" si="451"/>
        <v>41.0822882347947</v>
      </c>
      <c r="AL480" s="32">
        <f t="shared" si="452"/>
        <v>1.54645253242864</v>
      </c>
      <c r="AM480" s="32" t="str">
        <f t="shared" si="432"/>
        <v>1-7,00028707730551i</v>
      </c>
      <c r="AN480" s="32">
        <f t="shared" si="453"/>
        <v>7.07135200401525</v>
      </c>
      <c r="AO480" s="32">
        <f t="shared" si="454"/>
        <v>-1.42890501350609</v>
      </c>
      <c r="AP480" s="30" t="str">
        <f t="shared" si="455"/>
        <v>1,95668638624802-16,5582753120218i</v>
      </c>
      <c r="AQ480" s="32">
        <f t="shared" si="456"/>
        <v>24.4405276768387</v>
      </c>
      <c r="AR480" s="31">
        <f t="shared" si="457"/>
        <v>-83.2606287958682</v>
      </c>
      <c r="AS480" t="str">
        <f t="shared" si="433"/>
        <v>-0,0000504684572142411</v>
      </c>
      <c r="AT480" t="str">
        <f t="shared" si="434"/>
        <v>0,588549426402041i</v>
      </c>
      <c r="AU480">
        <f t="shared" si="458"/>
        <v>0.588549426402041</v>
      </c>
      <c r="AV480">
        <f t="shared" si="459"/>
        <v>1.5707963267949</v>
      </c>
      <c r="AW480" t="str">
        <f t="shared" si="435"/>
        <v>1+30,1326511251867i</v>
      </c>
      <c r="AX480">
        <f t="shared" si="460"/>
        <v>30.1492398549651</v>
      </c>
      <c r="AY480">
        <f t="shared" si="461"/>
        <v>1.53762191005937</v>
      </c>
      <c r="AZ480" t="str">
        <f t="shared" si="436"/>
        <v>1+1440,5971718786i</v>
      </c>
      <c r="BA480">
        <f t="shared" si="462"/>
        <v>1440.59751895685</v>
      </c>
      <c r="BB480">
        <f t="shared" si="463"/>
        <v>1.57010217033055</v>
      </c>
      <c r="BC480" s="30" t="str">
        <f t="shared" si="464"/>
        <v>-0,000133059694079583+0,00409519192484254i</v>
      </c>
      <c r="BD480" s="32">
        <f t="shared" si="465"/>
        <v>-47.7499323259112</v>
      </c>
      <c r="BE480" s="31">
        <f t="shared" si="466"/>
        <v>91.860981831025</v>
      </c>
      <c r="BF480" s="30" t="str">
        <f t="shared" si="467"/>
        <v>-0,00014731266443882-0,00830060798303238i</v>
      </c>
      <c r="BG480" s="68">
        <f t="shared" si="468"/>
        <v>-41.6164342718052</v>
      </c>
      <c r="BH480" s="31">
        <f t="shared" si="469"/>
        <v>-91.0167337123859</v>
      </c>
      <c r="BI480" s="30" t="str">
        <f t="shared" si="423"/>
        <v>0,0675489592551474+0,0102162453359154i</v>
      </c>
      <c r="BJ480" s="68">
        <f t="shared" si="470"/>
        <v>-23.3094046490725</v>
      </c>
      <c r="BK480" s="31">
        <f t="shared" si="424"/>
        <v>8.60035303515683</v>
      </c>
      <c r="BL480" s="32">
        <f t="shared" si="471"/>
        <v>-41.6164342718052</v>
      </c>
      <c r="BM480" s="31">
        <f t="shared" si="472"/>
        <v>-91.0167337123859</v>
      </c>
      <c r="BO480">
        <f t="shared" si="473"/>
        <v>0</v>
      </c>
      <c r="BP480">
        <f t="shared" si="474"/>
        <v>0</v>
      </c>
    </row>
    <row r="481" spans="14:68">
      <c r="N481" s="7">
        <v>63</v>
      </c>
      <c r="O481" s="18">
        <f t="shared" si="422"/>
        <v>426579.518801593</v>
      </c>
      <c r="P481" s="86" t="str">
        <f t="shared" si="425"/>
        <v>163,636363636364</v>
      </c>
      <c r="Q481" s="4" t="str">
        <f t="shared" si="426"/>
        <v>1+16374,0629708905i</v>
      </c>
      <c r="R481" s="4">
        <f t="shared" si="437"/>
        <v>16374.0630014266</v>
      </c>
      <c r="S481" s="4">
        <f t="shared" si="438"/>
        <v>1.57073525459794</v>
      </c>
      <c r="T481" s="4" t="str">
        <f t="shared" si="427"/>
        <v>1+42,0267616252857i</v>
      </c>
      <c r="U481" s="4">
        <f t="shared" si="439"/>
        <v>42.0386571230408</v>
      </c>
      <c r="V481" s="4">
        <f t="shared" si="440"/>
        <v>1.54700645335418</v>
      </c>
      <c r="W481" t="str">
        <f t="shared" si="428"/>
        <v>1-40,2041724731687i</v>
      </c>
      <c r="X481" s="4">
        <f t="shared" si="441"/>
        <v>40.216607070367</v>
      </c>
      <c r="Y481" s="4">
        <f t="shared" si="442"/>
        <v>-1.54592841403104</v>
      </c>
      <c r="Z481" t="str">
        <f t="shared" si="429"/>
        <v>-0,48547008866122+8,32800715515637i</v>
      </c>
      <c r="AA481" s="4">
        <f t="shared" si="443"/>
        <v>8.3421450708628</v>
      </c>
      <c r="AB481" s="4">
        <f t="shared" si="444"/>
        <v>1.62902409938791</v>
      </c>
      <c r="AC481" s="67" t="str">
        <f t="shared" si="445"/>
        <v>-2,02204955479963+0,115561671927058i</v>
      </c>
      <c r="AD481" s="68">
        <f t="shared" si="446"/>
        <v>6.12999774725737</v>
      </c>
      <c r="AE481" s="31">
        <f t="shared" si="447"/>
        <v>176.729060662469</v>
      </c>
      <c r="AF481" s="32" t="str">
        <f t="shared" si="448"/>
        <v>748,315388573934</v>
      </c>
      <c r="AG481" s="32" t="str">
        <f t="shared" si="430"/>
        <v>1+13341,8290873923i</v>
      </c>
      <c r="AH481" s="32">
        <f t="shared" si="449"/>
        <v>13341.8291248684</v>
      </c>
      <c r="AI481" s="32">
        <f t="shared" si="450"/>
        <v>1.57072137455322</v>
      </c>
      <c r="AJ481" s="32" t="str">
        <f t="shared" si="431"/>
        <v>1+42,0267616252857i</v>
      </c>
      <c r="AK481" s="32">
        <f t="shared" si="451"/>
        <v>42.0386571230408</v>
      </c>
      <c r="AL481" s="32">
        <f t="shared" si="452"/>
        <v>1.54700645335418</v>
      </c>
      <c r="AM481" s="32" t="str">
        <f t="shared" si="432"/>
        <v>1-7,16334471016024i</v>
      </c>
      <c r="AN481" s="32">
        <f t="shared" si="453"/>
        <v>7.23280771461406</v>
      </c>
      <c r="AO481" s="32">
        <f t="shared" si="454"/>
        <v>-1.4320931176004</v>
      </c>
      <c r="AP481" s="30" t="str">
        <f t="shared" si="455"/>
        <v>1,95668618864165-16,9413306607998i</v>
      </c>
      <c r="AQ481" s="32">
        <f t="shared" si="456"/>
        <v>24.6365011226256</v>
      </c>
      <c r="AR481" s="31">
        <f t="shared" si="457"/>
        <v>-83.4116564044259</v>
      </c>
      <c r="AS481" t="str">
        <f t="shared" si="433"/>
        <v>-0,0000504684572142411</v>
      </c>
      <c r="AT481" t="str">
        <f t="shared" si="434"/>
        <v>0,602258503648066i</v>
      </c>
      <c r="AU481">
        <f t="shared" si="458"/>
        <v>0.602258503648066</v>
      </c>
      <c r="AV481">
        <f t="shared" si="459"/>
        <v>1.5707963267949</v>
      </c>
      <c r="AW481" t="str">
        <f t="shared" si="435"/>
        <v>1+30,8345307352443i</v>
      </c>
      <c r="AX481">
        <f t="shared" si="460"/>
        <v>30.8507420601632</v>
      </c>
      <c r="AY481">
        <f t="shared" si="461"/>
        <v>1.5383765168096</v>
      </c>
      <c r="AZ481" t="str">
        <f t="shared" si="436"/>
        <v>1+1474,15299068285i</v>
      </c>
      <c r="BA481">
        <f t="shared" si="462"/>
        <v>1474.15332986063</v>
      </c>
      <c r="BB481">
        <f t="shared" si="463"/>
        <v>1.57011797125586</v>
      </c>
      <c r="BC481" s="30" t="str">
        <f t="shared" si="464"/>
        <v>-0,000127077313498398+0,00400216799153327i</v>
      </c>
      <c r="BD481" s="32">
        <f t="shared" si="465"/>
        <v>-47.9497173765619</v>
      </c>
      <c r="BE481" s="31">
        <f t="shared" si="466"/>
        <v>91.8186513753775</v>
      </c>
      <c r="BF481" s="30" t="str">
        <f t="shared" si="467"/>
        <v>-0,000205540599249972-0,00810726727232505i</v>
      </c>
      <c r="BG481" s="68">
        <f t="shared" si="468"/>
        <v>-41.8197196293045</v>
      </c>
      <c r="BH481" s="31">
        <f t="shared" si="469"/>
        <v>-91.4522879621535</v>
      </c>
      <c r="BI481" s="30" t="str">
        <f t="shared" si="423"/>
        <v>0,0675534008804221+0,00998384562111932i</v>
      </c>
      <c r="BJ481" s="68">
        <f t="shared" si="470"/>
        <v>-23.3132162539363</v>
      </c>
      <c r="BK481" s="31">
        <f t="shared" si="424"/>
        <v>8.40699497095162</v>
      </c>
      <c r="BL481" s="32">
        <f t="shared" si="471"/>
        <v>-41.8197196293045</v>
      </c>
      <c r="BM481" s="31">
        <f t="shared" si="472"/>
        <v>-91.4522879621535</v>
      </c>
      <c r="BO481">
        <f t="shared" si="473"/>
        <v>0</v>
      </c>
      <c r="BP481">
        <f t="shared" si="474"/>
        <v>0</v>
      </c>
    </row>
    <row r="482" spans="14:68">
      <c r="N482" s="7">
        <v>64</v>
      </c>
      <c r="O482" s="18">
        <f t="shared" si="422"/>
        <v>436515.832240166</v>
      </c>
      <c r="P482" s="86" t="str">
        <f t="shared" si="425"/>
        <v>163,636363636364</v>
      </c>
      <c r="Q482" s="4" t="str">
        <f t="shared" si="426"/>
        <v>1+16755,463893276i</v>
      </c>
      <c r="R482" s="4">
        <f t="shared" si="437"/>
        <v>16755.463923117</v>
      </c>
      <c r="S482" s="4">
        <f t="shared" si="438"/>
        <v>1.57073664477086</v>
      </c>
      <c r="T482" s="4" t="str">
        <f t="shared" si="427"/>
        <v>1+43,0056906594084i</v>
      </c>
      <c r="U482" s="4">
        <f t="shared" si="439"/>
        <v>43.017315456601</v>
      </c>
      <c r="V482" s="4">
        <f t="shared" si="440"/>
        <v>1.54754777960974</v>
      </c>
      <c r="W482" t="str">
        <f t="shared" si="428"/>
        <v>1-41,1406479522403i</v>
      </c>
      <c r="X482" s="4">
        <f t="shared" si="441"/>
        <v>41.152799588001</v>
      </c>
      <c r="Y482" s="4">
        <f t="shared" si="442"/>
        <v>-1.54649425139282</v>
      </c>
      <c r="Z482" t="str">
        <f t="shared" si="429"/>
        <v>-0,55547813711286+8,52199136153547i</v>
      </c>
      <c r="AA482" s="4">
        <f t="shared" si="443"/>
        <v>8.540075686251</v>
      </c>
      <c r="AB482" s="4">
        <f t="shared" si="444"/>
        <v>1.63588597944265</v>
      </c>
      <c r="AC482" s="67" t="str">
        <f t="shared" si="445"/>
        <v>-2,02029572738581+0,129427963695719i</v>
      </c>
      <c r="AD482" s="68">
        <f t="shared" si="446"/>
        <v>6.12608665539215</v>
      </c>
      <c r="AE482" s="31">
        <f t="shared" si="447"/>
        <v>176.334419861829</v>
      </c>
      <c r="AF482" s="32" t="str">
        <f t="shared" si="448"/>
        <v>748,315388573934</v>
      </c>
      <c r="AG482" s="32" t="str">
        <f t="shared" si="430"/>
        <v>1+13652,600209336i</v>
      </c>
      <c r="AH482" s="32">
        <f t="shared" si="449"/>
        <v>13652.6002459591</v>
      </c>
      <c r="AI482" s="32">
        <f t="shared" si="450"/>
        <v>1.57072308067453</v>
      </c>
      <c r="AJ482" s="32" t="str">
        <f t="shared" si="431"/>
        <v>1+43,0056906594084i</v>
      </c>
      <c r="AK482" s="32">
        <f t="shared" si="451"/>
        <v>43.017315456601</v>
      </c>
      <c r="AL482" s="32">
        <f t="shared" si="452"/>
        <v>1.54754777960974</v>
      </c>
      <c r="AM482" s="32" t="str">
        <f t="shared" si="432"/>
        <v>1-7,33020044319837i</v>
      </c>
      <c r="AN482" s="32">
        <f t="shared" si="453"/>
        <v>7.39809695377572</v>
      </c>
      <c r="AO482" s="32">
        <f t="shared" si="454"/>
        <v>-1.43521139609149</v>
      </c>
      <c r="AP482" s="30" t="str">
        <f t="shared" si="455"/>
        <v>1,95668599992905-17,333368527338i</v>
      </c>
      <c r="AQ482" s="32">
        <f t="shared" si="456"/>
        <v>24.8326525000763</v>
      </c>
      <c r="AR482" s="31">
        <f t="shared" si="457"/>
        <v>-83.559402645079</v>
      </c>
      <c r="AS482" t="str">
        <f t="shared" si="433"/>
        <v>-0,0000504684572142411</v>
      </c>
      <c r="AT482" t="str">
        <f t="shared" si="434"/>
        <v>0,616286906324558i</v>
      </c>
      <c r="AU482">
        <f t="shared" si="458"/>
        <v>0.616286906324558</v>
      </c>
      <c r="AV482">
        <f t="shared" si="459"/>
        <v>1.5707963267949</v>
      </c>
      <c r="AW482" t="str">
        <f t="shared" si="435"/>
        <v>1+31,552759221641i</v>
      </c>
      <c r="AX482">
        <f t="shared" si="460"/>
        <v>31.5686017190951</v>
      </c>
      <c r="AY482">
        <f t="shared" si="461"/>
        <v>1.53911398230426</v>
      </c>
      <c r="AZ482" t="str">
        <f t="shared" si="436"/>
        <v>1+1508,49042491547i</v>
      </c>
      <c r="BA482">
        <f t="shared" si="462"/>
        <v>1508.49075637263</v>
      </c>
      <c r="BB482">
        <f t="shared" si="463"/>
        <v>1.57013341250854</v>
      </c>
      <c r="BC482" s="30" t="str">
        <f t="shared" si="464"/>
        <v>-0,00012136363131079+0,00391124860928446i</v>
      </c>
      <c r="BD482" s="32">
        <f t="shared" si="465"/>
        <v>-48.1495120915865</v>
      </c>
      <c r="BE482" s="31">
        <f t="shared" si="466"/>
        <v>91.7772824336058</v>
      </c>
      <c r="BF482" s="30" t="str">
        <f t="shared" si="467"/>
        <v>-0,000261034517210185-0,00791758670174836i</v>
      </c>
      <c r="BG482" s="68">
        <f t="shared" si="468"/>
        <v>-42.0234254361944</v>
      </c>
      <c r="BH482" s="31">
        <f t="shared" si="469"/>
        <v>-91.8882977045656</v>
      </c>
      <c r="BI482" s="30" t="str">
        <f t="shared" si="423"/>
        <v>0,0675576430284794+0,00975672594335477i</v>
      </c>
      <c r="BJ482" s="68">
        <f t="shared" si="470"/>
        <v>-23.3168595915102</v>
      </c>
      <c r="BK482" s="31">
        <f t="shared" si="424"/>
        <v>8.21787978852682</v>
      </c>
      <c r="BL482" s="32">
        <f t="shared" si="471"/>
        <v>-42.0234254361944</v>
      </c>
      <c r="BM482" s="31">
        <f t="shared" si="472"/>
        <v>-91.8882977045656</v>
      </c>
      <c r="BO482">
        <f t="shared" si="473"/>
        <v>0</v>
      </c>
      <c r="BP482">
        <f t="shared" si="474"/>
        <v>0</v>
      </c>
    </row>
    <row r="483" spans="14:68">
      <c r="N483" s="7">
        <v>65</v>
      </c>
      <c r="O483" s="18">
        <f t="shared" si="422"/>
        <v>446683.592150964</v>
      </c>
      <c r="P483" s="86" t="str">
        <f t="shared" si="425"/>
        <v>163,636363636364</v>
      </c>
      <c r="Q483" s="4" t="str">
        <f t="shared" si="426"/>
        <v>1+17145,7487844026i</v>
      </c>
      <c r="R483" s="4">
        <f t="shared" si="437"/>
        <v>17145.7488135643</v>
      </c>
      <c r="S483" s="4">
        <f t="shared" si="438"/>
        <v>1.57073800329958</v>
      </c>
      <c r="T483" s="4" t="str">
        <f t="shared" si="427"/>
        <v>1+44,0074218799667i</v>
      </c>
      <c r="U483" s="4">
        <f t="shared" si="439"/>
        <v>44.0187821335549</v>
      </c>
      <c r="V483" s="4">
        <f t="shared" si="440"/>
        <v>1.54807679694392</v>
      </c>
      <c r="W483" t="str">
        <f t="shared" si="428"/>
        <v>1-42,0989367474171i</v>
      </c>
      <c r="X483" s="4">
        <f t="shared" si="441"/>
        <v>42.1108118570876</v>
      </c>
      <c r="Y483" s="4">
        <f t="shared" si="442"/>
        <v>-1.54704722376416</v>
      </c>
      <c r="Z483" t="str">
        <f t="shared" si="429"/>
        <v>-0,62878556323992+8,7204940405364i</v>
      </c>
      <c r="AA483" s="4">
        <f t="shared" si="443"/>
        <v>8.74313374000248</v>
      </c>
      <c r="AB483" s="4">
        <f t="shared" si="444"/>
        <v>1.64277610841462</v>
      </c>
      <c r="AC483" s="67" t="str">
        <f t="shared" si="445"/>
        <v>-2,01834617046769+0,143324545091322i</v>
      </c>
      <c r="AD483" s="68">
        <f t="shared" si="446"/>
        <v>6.1217575671577</v>
      </c>
      <c r="AE483" s="31">
        <f t="shared" si="447"/>
        <v>175.938194190944</v>
      </c>
      <c r="AF483" s="32" t="str">
        <f t="shared" si="448"/>
        <v>748,315388573934</v>
      </c>
      <c r="AG483" s="32" t="str">
        <f t="shared" si="430"/>
        <v>1+13970,6101206244i</v>
      </c>
      <c r="AH483" s="32">
        <f t="shared" si="449"/>
        <v>13970.6101564138</v>
      </c>
      <c r="AI483" s="32">
        <f t="shared" si="450"/>
        <v>1.57072474795978</v>
      </c>
      <c r="AJ483" s="32" t="str">
        <f t="shared" si="431"/>
        <v>1+44,0074218799667i</v>
      </c>
      <c r="AK483" s="32">
        <f t="shared" si="451"/>
        <v>44.0187821335549</v>
      </c>
      <c r="AL483" s="32">
        <f t="shared" si="452"/>
        <v>1.54807679694392</v>
      </c>
      <c r="AM483" s="32" t="str">
        <f t="shared" si="432"/>
        <v>1-7,5009427455382i</v>
      </c>
      <c r="AN483" s="32">
        <f t="shared" si="453"/>
        <v>7.56730745191724</v>
      </c>
      <c r="AO483" s="32">
        <f t="shared" si="454"/>
        <v>-1.43826125963569</v>
      </c>
      <c r="AP483" s="30" t="str">
        <f t="shared" si="455"/>
        <v>1,9566858197099-17,7345967753024i</v>
      </c>
      <c r="AQ483" s="32">
        <f t="shared" si="456"/>
        <v>25.0289740855327</v>
      </c>
      <c r="AR483" s="31">
        <f t="shared" si="457"/>
        <v>-83.7039320221225</v>
      </c>
      <c r="AS483" t="str">
        <f t="shared" si="433"/>
        <v>-0,0000504684572142411</v>
      </c>
      <c r="AT483" t="str">
        <f t="shared" si="434"/>
        <v>0,630642072476307i</v>
      </c>
      <c r="AU483">
        <f t="shared" si="458"/>
        <v>0.630642072476307</v>
      </c>
      <c r="AV483">
        <f t="shared" si="459"/>
        <v>1.5707963267949</v>
      </c>
      <c r="AW483" t="str">
        <f t="shared" si="435"/>
        <v>1+32,2877173986273i</v>
      </c>
      <c r="AX483">
        <f t="shared" si="460"/>
        <v>32.3031994516584</v>
      </c>
      <c r="AY483">
        <f t="shared" si="461"/>
        <v>1.53983469434686</v>
      </c>
      <c r="AZ483" t="str">
        <f t="shared" si="436"/>
        <v>1+1543,62768073863i</v>
      </c>
      <c r="BA483">
        <f t="shared" si="462"/>
        <v>1543.6280046509</v>
      </c>
      <c r="BB483">
        <f t="shared" si="463"/>
        <v>1.57014850227569</v>
      </c>
      <c r="BC483" s="30" t="str">
        <f t="shared" si="464"/>
        <v>-0,000115906602690867+0,00382238673392869i</v>
      </c>
      <c r="BD483" s="32">
        <f t="shared" si="465"/>
        <v>-48.3493160368903</v>
      </c>
      <c r="BE483" s="31">
        <f t="shared" si="466"/>
        <v>91.736853255292</v>
      </c>
      <c r="BF483" s="30" t="str">
        <f t="shared" si="467"/>
        <v>-0,000313902192130402-0,00773151188757522i</v>
      </c>
      <c r="BG483" s="68">
        <f t="shared" si="468"/>
        <v>-42.2275584697326</v>
      </c>
      <c r="BH483" s="31">
        <f t="shared" si="469"/>
        <v>-92.3249525537639</v>
      </c>
      <c r="BI483" s="30" t="str">
        <f t="shared" si="423"/>
        <v>0,0675616946395945+0,00953476678204321i</v>
      </c>
      <c r="BJ483" s="68">
        <f t="shared" si="470"/>
        <v>-23.3203419513577</v>
      </c>
      <c r="BK483" s="31">
        <f t="shared" si="424"/>
        <v>8.03292123316946</v>
      </c>
      <c r="BL483" s="32">
        <f t="shared" si="471"/>
        <v>-42.2275584697326</v>
      </c>
      <c r="BM483" s="31">
        <f t="shared" si="472"/>
        <v>-92.3249525537639</v>
      </c>
      <c r="BO483">
        <f t="shared" si="473"/>
        <v>0</v>
      </c>
      <c r="BP483">
        <f t="shared" si="474"/>
        <v>0</v>
      </c>
    </row>
    <row r="484" spans="14:68">
      <c r="N484" s="7">
        <v>66</v>
      </c>
      <c r="O484" s="18">
        <f t="shared" ref="O484:O518" si="475">10^(5+(N484/100))</f>
        <v>457088.189614875</v>
      </c>
      <c r="P484" s="86" t="str">
        <f t="shared" si="425"/>
        <v>163,636363636364</v>
      </c>
      <c r="Q484" s="4" t="str">
        <f t="shared" si="426"/>
        <v>1+17545,1245784854i</v>
      </c>
      <c r="R484" s="4">
        <f t="shared" si="437"/>
        <v>17545.1246069833</v>
      </c>
      <c r="S484" s="4">
        <f t="shared" si="438"/>
        <v>1.57073933090442</v>
      </c>
      <c r="T484" s="4" t="str">
        <f t="shared" si="427"/>
        <v>1+45,0324864181125i</v>
      </c>
      <c r="U484" s="4">
        <f t="shared" si="439"/>
        <v>45.0435881452342</v>
      </c>
      <c r="V484" s="4">
        <f t="shared" si="440"/>
        <v>1.54859378466363</v>
      </c>
      <c r="W484" t="str">
        <f t="shared" si="428"/>
        <v>1-43,0795469561025i</v>
      </c>
      <c r="X484" s="4">
        <f t="shared" si="441"/>
        <v>43.09115182892</v>
      </c>
      <c r="Y484" s="4">
        <f t="shared" si="442"/>
        <v>-1.54758762298486</v>
      </c>
      <c r="Z484" t="str">
        <f t="shared" si="429"/>
        <v>-0,70554786192167+8,92362044090695i</v>
      </c>
      <c r="AA484" s="4">
        <f t="shared" si="443"/>
        <v>8.95146912851933</v>
      </c>
      <c r="AB484" s="4">
        <f t="shared" si="444"/>
        <v>1.64969739143253</v>
      </c>
      <c r="AC484" s="67" t="str">
        <f t="shared" si="445"/>
        <v>-2,01619789638914+0,157254340552841i</v>
      </c>
      <c r="AD484" s="68">
        <f t="shared" si="446"/>
        <v>6.11700253157063</v>
      </c>
      <c r="AE484" s="31">
        <f t="shared" si="447"/>
        <v>175.540216438849</v>
      </c>
      <c r="AF484" s="32" t="str">
        <f t="shared" si="448"/>
        <v>748,315388573934</v>
      </c>
      <c r="AG484" s="32" t="str">
        <f t="shared" si="430"/>
        <v>1+14296,0274343214i</v>
      </c>
      <c r="AH484" s="32">
        <f t="shared" si="449"/>
        <v>14296.0274692962</v>
      </c>
      <c r="AI484" s="32">
        <f t="shared" si="450"/>
        <v>1.57072637729298</v>
      </c>
      <c r="AJ484" s="32" t="str">
        <f t="shared" si="431"/>
        <v>1+45,0324864181125i</v>
      </c>
      <c r="AK484" s="32">
        <f t="shared" si="451"/>
        <v>45.0435881452342</v>
      </c>
      <c r="AL484" s="32">
        <f t="shared" si="452"/>
        <v>1.54859378466363</v>
      </c>
      <c r="AM484" s="32" t="str">
        <f t="shared" si="432"/>
        <v>1-7,67566214700837i</v>
      </c>
      <c r="AN484" s="32">
        <f t="shared" si="453"/>
        <v>7.74052901260742</v>
      </c>
      <c r="AO484" s="32">
        <f t="shared" si="454"/>
        <v>-1.44124409824065</v>
      </c>
      <c r="AP484" s="30" t="str">
        <f t="shared" si="455"/>
        <v>1,95668564760197-18,145228141221i</v>
      </c>
      <c r="AQ484" s="32">
        <f t="shared" si="456"/>
        <v>25.2254584785742</v>
      </c>
      <c r="AR484" s="31">
        <f t="shared" si="457"/>
        <v>-83.8453082246722</v>
      </c>
      <c r="AS484" t="str">
        <f t="shared" si="433"/>
        <v>-0,0000504684572142411</v>
      </c>
      <c r="AT484" t="str">
        <f t="shared" si="434"/>
        <v>0,645331613402415i</v>
      </c>
      <c r="AU484">
        <f t="shared" si="458"/>
        <v>0.645331613402415</v>
      </c>
      <c r="AV484">
        <f t="shared" si="459"/>
        <v>1.5707963267949</v>
      </c>
      <c r="AW484" t="str">
        <f t="shared" si="435"/>
        <v>1+33,0397949507566i</v>
      </c>
      <c r="AX484">
        <f t="shared" si="460"/>
        <v>33.0549247524184</v>
      </c>
      <c r="AY484">
        <f t="shared" si="461"/>
        <v>1.54053903207193</v>
      </c>
      <c r="AZ484" t="str">
        <f t="shared" si="436"/>
        <v>1+1579,58338839042i</v>
      </c>
      <c r="BA484">
        <f t="shared" si="462"/>
        <v>1579.58370492955</v>
      </c>
      <c r="BB484">
        <f t="shared" si="463"/>
        <v>1.57016324855809</v>
      </c>
      <c r="BC484" s="30" t="str">
        <f t="shared" si="464"/>
        <v>-0,000110694720652687+0,00373553633487555i</v>
      </c>
      <c r="BD484" s="32">
        <f t="shared" si="465"/>
        <v>-48.5491287978395</v>
      </c>
      <c r="BE484" s="31">
        <f t="shared" si="466"/>
        <v>91.6973425760393</v>
      </c>
      <c r="BF484" s="30" t="str">
        <f t="shared" si="467"/>
        <v>-0,0003642468400307-0,0075489877255602i</v>
      </c>
      <c r="BG484" s="68">
        <f t="shared" si="468"/>
        <v>-42.4321262662689</v>
      </c>
      <c r="BH484" s="31">
        <f t="shared" si="469"/>
        <v>-92.7624409851112</v>
      </c>
      <c r="BI484" s="30" t="str">
        <f t="shared" si="423"/>
        <v>0,067565564254971+0,00931785129281839i</v>
      </c>
      <c r="BJ484" s="68">
        <f t="shared" si="470"/>
        <v>-23.3236703192652</v>
      </c>
      <c r="BK484" s="31">
        <f t="shared" si="424"/>
        <v>7.85203435136713</v>
      </c>
      <c r="BL484" s="32">
        <f t="shared" si="471"/>
        <v>-42.4321262662689</v>
      </c>
      <c r="BM484" s="31">
        <f t="shared" si="472"/>
        <v>-92.7624409851112</v>
      </c>
      <c r="BO484">
        <f t="shared" si="473"/>
        <v>0</v>
      </c>
      <c r="BP484">
        <f t="shared" si="474"/>
        <v>0</v>
      </c>
    </row>
    <row r="485" spans="14:68">
      <c r="N485" s="7">
        <v>67</v>
      </c>
      <c r="O485" s="18">
        <f t="shared" si="475"/>
        <v>467735.141287199</v>
      </c>
      <c r="P485" s="86" t="str">
        <f t="shared" si="425"/>
        <v>163,636363636364</v>
      </c>
      <c r="Q485" s="4" t="str">
        <f t="shared" si="426"/>
        <v>1+17953,803029857i</v>
      </c>
      <c r="R485" s="4">
        <f t="shared" si="437"/>
        <v>17953.8030577063</v>
      </c>
      <c r="S485" s="4">
        <f t="shared" si="438"/>
        <v>1.57074062828928</v>
      </c>
      <c r="T485" s="4" t="str">
        <f t="shared" si="427"/>
        <v>1+46,0814277766329i</v>
      </c>
      <c r="U485" s="4">
        <f t="shared" si="439"/>
        <v>46.0922768577669</v>
      </c>
      <c r="V485" s="4">
        <f t="shared" si="440"/>
        <v>1.54909901577654</v>
      </c>
      <c r="W485" t="str">
        <f t="shared" si="428"/>
        <v>1-44,0829985108095i</v>
      </c>
      <c r="X485" s="4">
        <f t="shared" si="441"/>
        <v>44.0943392932022</v>
      </c>
      <c r="Y485" s="4">
        <f t="shared" si="442"/>
        <v>-1.54811573431851</v>
      </c>
      <c r="Z485" t="str">
        <f t="shared" si="429"/>
        <v>-0,78592785628537+9,1314782629534i</v>
      </c>
      <c r="AA485" s="4">
        <f t="shared" si="443"/>
        <v>9.16523746894077</v>
      </c>
      <c r="AB485" s="4">
        <f t="shared" si="444"/>
        <v>1.65665272105714</v>
      </c>
      <c r="AC485" s="67" t="str">
        <f t="shared" si="445"/>
        <v>-2,01384763809628+0,17122013202725i</v>
      </c>
      <c r="AD485" s="68">
        <f t="shared" si="446"/>
        <v>6.11181285030418</v>
      </c>
      <c r="AE485" s="31">
        <f t="shared" si="447"/>
        <v>175.140320131478</v>
      </c>
      <c r="AF485" s="32" t="str">
        <f t="shared" si="448"/>
        <v>748,315388573934</v>
      </c>
      <c r="AG485" s="32" t="str">
        <f t="shared" si="430"/>
        <v>1+14629,0246909946i</v>
      </c>
      <c r="AH485" s="32">
        <f t="shared" si="449"/>
        <v>14629.0247251732</v>
      </c>
      <c r="AI485" s="32">
        <f t="shared" si="450"/>
        <v>1.57072796953803</v>
      </c>
      <c r="AJ485" s="32" t="str">
        <f t="shared" si="431"/>
        <v>1+46,0814277766329i</v>
      </c>
      <c r="AK485" s="32">
        <f t="shared" si="451"/>
        <v>46.0922768577669</v>
      </c>
      <c r="AL485" s="32">
        <f t="shared" si="452"/>
        <v>1.54909901577654</v>
      </c>
      <c r="AM485" s="32" t="str">
        <f t="shared" si="432"/>
        <v>1-7,85445128614834i</v>
      </c>
      <c r="AN485" s="32">
        <f t="shared" si="453"/>
        <v>7.91785356056029</v>
      </c>
      <c r="AO485" s="32">
        <f t="shared" si="454"/>
        <v>-1.44416128102008</v>
      </c>
      <c r="AP485" s="30" t="str">
        <f t="shared" si="455"/>
        <v>1,95668548324015-18,5654803472795i</v>
      </c>
      <c r="AQ485" s="32">
        <f t="shared" si="456"/>
        <v>25.4220985895328</v>
      </c>
      <c r="AR485" s="31">
        <f t="shared" si="457"/>
        <v>-83.9835941044744</v>
      </c>
      <c r="AS485" t="str">
        <f t="shared" si="433"/>
        <v>-0,0000504684572142411</v>
      </c>
      <c r="AT485" t="str">
        <f t="shared" si="434"/>
        <v>0,660363317691926i</v>
      </c>
      <c r="AU485">
        <f t="shared" si="458"/>
        <v>0.660363317691926</v>
      </c>
      <c r="AV485">
        <f t="shared" si="459"/>
        <v>1.5707963267949</v>
      </c>
      <c r="AW485" t="str">
        <f t="shared" si="435"/>
        <v>1+33,8093906395023i</v>
      </c>
      <c r="AX485">
        <f t="shared" si="460"/>
        <v>33.8241761971296</v>
      </c>
      <c r="AY485">
        <f t="shared" si="461"/>
        <v>1.5412273661317</v>
      </c>
      <c r="AZ485" t="str">
        <f t="shared" si="436"/>
        <v>1+1616,37661206301i</v>
      </c>
      <c r="BA485">
        <f t="shared" si="462"/>
        <v>1616.37692139683</v>
      </c>
      <c r="BB485">
        <f t="shared" si="463"/>
        <v>1.5701776591744</v>
      </c>
      <c r="BC485" s="30" t="str">
        <f t="shared" si="464"/>
        <v>-0,000105716992217697+0,00365065237584065i</v>
      </c>
      <c r="BD485" s="32">
        <f t="shared" si="465"/>
        <v>-48.7489499783915</v>
      </c>
      <c r="BE485" s="31">
        <f t="shared" si="466"/>
        <v>91.6587296070135</v>
      </c>
      <c r="BF485" s="30" t="str">
        <f t="shared" si="467"/>
        <v>-0,000412167266692778-0,0073699585419623i</v>
      </c>
      <c r="BG485" s="68">
        <f t="shared" si="468"/>
        <v>-42.6371371280873</v>
      </c>
      <c r="BH485" s="31">
        <f t="shared" si="469"/>
        <v>-93.2009502615085</v>
      </c>
      <c r="BI485" s="30" t="str">
        <f t="shared" si="423"/>
        <v>0,0675692600344146+0,00910586524955472i</v>
      </c>
      <c r="BJ485" s="68">
        <f t="shared" si="470"/>
        <v>-23.3268513888587</v>
      </c>
      <c r="BK485" s="31">
        <f t="shared" si="424"/>
        <v>7.67513550253909</v>
      </c>
      <c r="BL485" s="32">
        <f t="shared" si="471"/>
        <v>-42.6371371280873</v>
      </c>
      <c r="BM485" s="31">
        <f t="shared" si="472"/>
        <v>-93.2009502615085</v>
      </c>
      <c r="BO485">
        <f t="shared" si="473"/>
        <v>0</v>
      </c>
      <c r="BP485">
        <f t="shared" si="474"/>
        <v>0</v>
      </c>
    </row>
    <row r="486" spans="14:68">
      <c r="N486" s="7">
        <v>68</v>
      </c>
      <c r="O486" s="18">
        <f t="shared" si="475"/>
        <v>478630.092322639</v>
      </c>
      <c r="P486" s="86" t="str">
        <f t="shared" si="425"/>
        <v>163,636363636364</v>
      </c>
      <c r="Q486" s="4" t="str">
        <f t="shared" si="426"/>
        <v>1+18372,0008252416i</v>
      </c>
      <c r="R486" s="4">
        <f t="shared" si="437"/>
        <v>18372.0008524569</v>
      </c>
      <c r="S486" s="4">
        <f t="shared" si="438"/>
        <v>1.57074189614205</v>
      </c>
      <c r="T486" s="4" t="str">
        <f t="shared" si="427"/>
        <v>1+47,15480211812i</v>
      </c>
      <c r="U486" s="4">
        <f t="shared" si="439"/>
        <v>47.1654043001759</v>
      </c>
      <c r="V486" s="4">
        <f t="shared" si="440"/>
        <v>1.54959275713057</v>
      </c>
      <c r="W486" t="str">
        <f t="shared" si="428"/>
        <v>1-45,1098234548342i</v>
      </c>
      <c r="X486" s="4">
        <f t="shared" si="441"/>
        <v>45.120906153648</v>
      </c>
      <c r="Y486" s="4">
        <f t="shared" si="442"/>
        <v>-1.54863183659771</v>
      </c>
      <c r="Z486" t="str">
        <f t="shared" si="429"/>
        <v>-0,87009604307574+9,34417771564422i</v>
      </c>
      <c r="AA486" s="4">
        <f t="shared" si="443"/>
        <v>9.3846003807151</v>
      </c>
      <c r="AB486" s="4">
        <f t="shared" si="444"/>
        <v>1.66364497571177</v>
      </c>
      <c r="AC486" s="67" t="str">
        <f t="shared" si="445"/>
        <v>-2,01129185106339+0,185224544447713i</v>
      </c>
      <c r="AD486" s="68">
        <f t="shared" si="446"/>
        <v>6.10617906950808</v>
      </c>
      <c r="AE486" s="31">
        <f t="shared" si="447"/>
        <v>174.738339621236</v>
      </c>
      <c r="AF486" s="32" t="str">
        <f t="shared" si="448"/>
        <v>748,315388573934</v>
      </c>
      <c r="AG486" s="32" t="str">
        <f t="shared" si="430"/>
        <v>1+14969,7784501968i</v>
      </c>
      <c r="AH486" s="32">
        <f t="shared" si="449"/>
        <v>14969.7784835974</v>
      </c>
      <c r="AI486" s="32">
        <f t="shared" si="450"/>
        <v>1.57072952553916</v>
      </c>
      <c r="AJ486" s="32" t="str">
        <f t="shared" si="431"/>
        <v>1+47,15480211812i</v>
      </c>
      <c r="AK486" s="32">
        <f t="shared" si="451"/>
        <v>47.1654043001759</v>
      </c>
      <c r="AL486" s="32">
        <f t="shared" si="452"/>
        <v>1.54959275713057</v>
      </c>
      <c r="AM486" s="32" t="str">
        <f t="shared" si="432"/>
        <v>1-8,03740495932613i</v>
      </c>
      <c r="AN486" s="32">
        <f t="shared" si="453"/>
        <v>8.09937519072924</v>
      </c>
      <c r="AO486" s="32">
        <f t="shared" si="454"/>
        <v>-1.44701415599649</v>
      </c>
      <c r="AP486" s="30" t="str">
        <f t="shared" si="455"/>
        <v>1,95668532627585-18,9955762167603i</v>
      </c>
      <c r="AQ486" s="32">
        <f t="shared" si="456"/>
        <v>25.618887627398</v>
      </c>
      <c r="AR486" s="31">
        <f t="shared" si="457"/>
        <v>-84.1188516566416</v>
      </c>
      <c r="AS486" t="str">
        <f t="shared" si="433"/>
        <v>-0,0000504684572142411</v>
      </c>
      <c r="AT486" t="str">
        <f t="shared" si="434"/>
        <v>0,675745155353417i</v>
      </c>
      <c r="AU486">
        <f t="shared" si="458"/>
        <v>0.675745155353417</v>
      </c>
      <c r="AV486">
        <f t="shared" si="459"/>
        <v>1.5707963267949</v>
      </c>
      <c r="AW486" t="str">
        <f t="shared" si="435"/>
        <v>1+34,5969125146852i</v>
      </c>
      <c r="AX486">
        <f t="shared" si="460"/>
        <v>34.6113616540693</v>
      </c>
      <c r="AY486">
        <f t="shared" si="461"/>
        <v>1.54190005887944</v>
      </c>
      <c r="AZ486" t="str">
        <f t="shared" si="436"/>
        <v>1+1654,02686001058i</v>
      </c>
      <c r="BA486">
        <f t="shared" si="462"/>
        <v>1654.0271623031</v>
      </c>
      <c r="BB486">
        <f t="shared" si="463"/>
        <v>1.57019174176527</v>
      </c>
      <c r="BC486" s="30" t="str">
        <f t="shared" si="464"/>
        <v>-0,000100962915622033+0,00356769079576182i</v>
      </c>
      <c r="BD486" s="32">
        <f t="shared" si="465"/>
        <v>-48.9487792002649</v>
      </c>
      <c r="BE486" s="31">
        <f t="shared" si="466"/>
        <v>91.6209940246807</v>
      </c>
      <c r="BF486" s="30" t="str">
        <f t="shared" si="467"/>
        <v>-0,000457758012925086-0,00719436823468181i</v>
      </c>
      <c r="BG486" s="68">
        <f t="shared" si="468"/>
        <v>-42.8426001307568</v>
      </c>
      <c r="BH486" s="31">
        <f t="shared" si="469"/>
        <v>-93.6406663540835</v>
      </c>
      <c r="BI486" s="30" t="str">
        <f t="shared" si="423"/>
        <v>0,0675727897732322+0,00889869698752123i</v>
      </c>
      <c r="BJ486" s="68">
        <f t="shared" si="470"/>
        <v>-23.3298915728669</v>
      </c>
      <c r="BK486" s="31">
        <f t="shared" si="424"/>
        <v>7.50214236803911</v>
      </c>
      <c r="BL486" s="32">
        <f t="shared" si="471"/>
        <v>-42.8426001307568</v>
      </c>
      <c r="BM486" s="31">
        <f t="shared" si="472"/>
        <v>-93.6406663540835</v>
      </c>
      <c r="BO486">
        <f t="shared" si="473"/>
        <v>0</v>
      </c>
      <c r="BP486">
        <f t="shared" si="474"/>
        <v>0</v>
      </c>
    </row>
    <row r="487" spans="14:68">
      <c r="N487" s="7">
        <v>69</v>
      </c>
      <c r="O487" s="18">
        <f t="shared" si="475"/>
        <v>489778.819368447</v>
      </c>
      <c r="P487" s="86" t="str">
        <f t="shared" si="425"/>
        <v>163,636363636364</v>
      </c>
      <c r="Q487" s="4" t="str">
        <f t="shared" si="426"/>
        <v>1+18799,939698646i</v>
      </c>
      <c r="R487" s="4">
        <f t="shared" si="437"/>
        <v>18799.9397252418</v>
      </c>
      <c r="S487" s="4">
        <f t="shared" si="438"/>
        <v>1.57074313513497</v>
      </c>
      <c r="T487" s="4" t="str">
        <f t="shared" si="427"/>
        <v>1+48,2531785598579i</v>
      </c>
      <c r="U487" s="4">
        <f t="shared" si="439"/>
        <v>48.2635394591977</v>
      </c>
      <c r="V487" s="4">
        <f t="shared" si="440"/>
        <v>1.55007526955045</v>
      </c>
      <c r="W487" t="str">
        <f t="shared" si="428"/>
        <v>1-46,1605662243539i</v>
      </c>
      <c r="X487" s="4">
        <f t="shared" si="441"/>
        <v>46.1713967100083</v>
      </c>
      <c r="Y487" s="4">
        <f t="shared" si="442"/>
        <v>-1.54913620236635</v>
      </c>
      <c r="Z487" t="str">
        <f t="shared" si="429"/>
        <v>-0,95823095430164+9,56183157504473i</v>
      </c>
      <c r="AA487" s="4">
        <f t="shared" si="443"/>
        <v>9.60972578335637</v>
      </c>
      <c r="AB487" s="4">
        <f t="shared" si="444"/>
        <v>1.67067701800937</v>
      </c>
      <c r="AC487" s="67" t="str">
        <f t="shared" si="445"/>
        <v>-2,00852671559603+0,199270030833208i</v>
      </c>
      <c r="AD487" s="68">
        <f t="shared" si="446"/>
        <v>6.10009097120627</v>
      </c>
      <c r="AE487" s="31">
        <f t="shared" si="447"/>
        <v>174.334110182509</v>
      </c>
      <c r="AF487" s="32" t="str">
        <f t="shared" si="448"/>
        <v>748,315388573934</v>
      </c>
      <c r="AG487" s="32" t="str">
        <f t="shared" si="430"/>
        <v>1+15318,4693840819i</v>
      </c>
      <c r="AH487" s="32">
        <f t="shared" si="449"/>
        <v>15318.4694167222</v>
      </c>
      <c r="AI487" s="32">
        <f t="shared" si="450"/>
        <v>1.57073104612138</v>
      </c>
      <c r="AJ487" s="32" t="str">
        <f t="shared" si="431"/>
        <v>1+48,2531785598579i</v>
      </c>
      <c r="AK487" s="32">
        <f t="shared" si="451"/>
        <v>48.2635394591977</v>
      </c>
      <c r="AL487" s="32">
        <f t="shared" si="452"/>
        <v>1.55007526955045</v>
      </c>
      <c r="AM487" s="32" t="str">
        <f t="shared" si="432"/>
        <v>1-8,22462017100102i</v>
      </c>
      <c r="AN487" s="32">
        <f t="shared" si="453"/>
        <v>8.2851902185307</v>
      </c>
      <c r="AO487" s="32">
        <f t="shared" si="454"/>
        <v>-1.44980404994878</v>
      </c>
      <c r="AP487" s="30" t="str">
        <f t="shared" si="455"/>
        <v>1,95668517637609-19,4357437921864i</v>
      </c>
      <c r="AQ487" s="32">
        <f t="shared" si="456"/>
        <v>25.8158190881093</v>
      </c>
      <c r="AR487" s="31">
        <f t="shared" si="457"/>
        <v>-84.2511420031191</v>
      </c>
      <c r="AS487" t="str">
        <f t="shared" si="433"/>
        <v>-0,0000504684572142411</v>
      </c>
      <c r="AT487" t="str">
        <f t="shared" si="434"/>
        <v>0,691485282040821i</v>
      </c>
      <c r="AU487">
        <f t="shared" si="458"/>
        <v>0.691485282040821</v>
      </c>
      <c r="AV487">
        <f t="shared" si="459"/>
        <v>1.5707963267949</v>
      </c>
      <c r="AW487" t="str">
        <f t="shared" si="435"/>
        <v>1+35,4027781308277i</v>
      </c>
      <c r="AX487">
        <f t="shared" si="460"/>
        <v>35.4168985003008</v>
      </c>
      <c r="AY487">
        <f t="shared" si="461"/>
        <v>1.54255746454912</v>
      </c>
      <c r="AZ487" t="str">
        <f t="shared" si="436"/>
        <v>1+1692,55409489297i</v>
      </c>
      <c r="BA487">
        <f t="shared" si="462"/>
        <v>1692.55439030448</v>
      </c>
      <c r="BB487">
        <f t="shared" si="463"/>
        <v>1.57020550379748</v>
      </c>
      <c r="BC487" s="30" t="str">
        <f t="shared" si="464"/>
        <v>-0,0000964224585197468+0,00348660848991502i</v>
      </c>
      <c r="BD487" s="32">
        <f t="shared" si="465"/>
        <v>-49.1486161021454</v>
      </c>
      <c r="BE487" s="31">
        <f t="shared" si="466"/>
        <v>91.5841159607427</v>
      </c>
      <c r="BF487" s="30" t="str">
        <f t="shared" si="467"/>
        <v>-0,000501109497368329-0,00702216040510049i</v>
      </c>
      <c r="BG487" s="68">
        <f t="shared" si="468"/>
        <v>-43.0485251309392</v>
      </c>
      <c r="BH487" s="31">
        <f t="shared" si="469"/>
        <v>-94.0817738567488</v>
      </c>
      <c r="BI487" s="30" t="str">
        <f t="shared" si="423"/>
        <v>0,0675761609183949+0,00869623734764626i</v>
      </c>
      <c r="BJ487" s="68">
        <f t="shared" si="470"/>
        <v>-23.3327970140361</v>
      </c>
      <c r="BK487" s="31">
        <f t="shared" si="424"/>
        <v>7.33297395762362</v>
      </c>
      <c r="BL487" s="32">
        <f t="shared" si="471"/>
        <v>-43.0485251309392</v>
      </c>
      <c r="BM487" s="31">
        <f t="shared" si="472"/>
        <v>-94.0817738567488</v>
      </c>
      <c r="BO487">
        <f t="shared" si="473"/>
        <v>0</v>
      </c>
      <c r="BP487">
        <f t="shared" si="474"/>
        <v>0</v>
      </c>
    </row>
    <row r="488" spans="14:68">
      <c r="N488" s="7">
        <v>70</v>
      </c>
      <c r="O488" s="18">
        <f t="shared" si="475"/>
        <v>501187.233627273</v>
      </c>
      <c r="P488" s="86" t="str">
        <f t="shared" si="425"/>
        <v>163,636363636364</v>
      </c>
      <c r="Q488" s="4" t="str">
        <f t="shared" si="426"/>
        <v>1+19237,8465489251i</v>
      </c>
      <c r="R488" s="4">
        <f t="shared" si="437"/>
        <v>19237.8465749155</v>
      </c>
      <c r="S488" s="4">
        <f t="shared" si="438"/>
        <v>1.57074434592497</v>
      </c>
      <c r="T488" s="4" t="str">
        <f t="shared" si="427"/>
        <v>1+49,3771394755745i</v>
      </c>
      <c r="U488" s="4">
        <f t="shared" si="439"/>
        <v>49.387264580966</v>
      </c>
      <c r="V488" s="4">
        <f t="shared" si="440"/>
        <v>1.55054680797144</v>
      </c>
      <c r="W488" t="str">
        <f t="shared" si="428"/>
        <v>1-47,235783937093i</v>
      </c>
      <c r="X488" s="4">
        <f t="shared" si="441"/>
        <v>47.2463679466658</v>
      </c>
      <c r="Y488" s="4">
        <f t="shared" si="442"/>
        <v>-1.54962909801881</v>
      </c>
      <c r="Z488" t="str">
        <f t="shared" si="429"/>
        <v>-1,0505195359262+9,7845552441121i</v>
      </c>
      <c r="AA488" s="4">
        <f t="shared" si="443"/>
        <v>9.84078821133979</v>
      </c>
      <c r="AB488" s="4">
        <f t="shared" si="444"/>
        <v>1.67775169296722</v>
      </c>
      <c r="AC488" s="67" t="str">
        <f t="shared" si="445"/>
        <v>-2,00554813956156+0,21335885699011i</v>
      </c>
      <c r="AD488" s="68">
        <f t="shared" si="446"/>
        <v>6.09353756432229</v>
      </c>
      <c r="AE488" s="31">
        <f t="shared" si="447"/>
        <v>173.927468113614</v>
      </c>
      <c r="AF488" s="32" t="str">
        <f t="shared" si="448"/>
        <v>748,315388573934</v>
      </c>
      <c r="AG488" s="32" t="str">
        <f t="shared" si="430"/>
        <v>1+15675,2823731982i</v>
      </c>
      <c r="AH488" s="32">
        <f t="shared" si="449"/>
        <v>15675.2824050956</v>
      </c>
      <c r="AI488" s="32">
        <f t="shared" si="450"/>
        <v>1.57073253209093</v>
      </c>
      <c r="AJ488" s="32" t="str">
        <f t="shared" si="431"/>
        <v>1+49,3771394755745i</v>
      </c>
      <c r="AK488" s="32">
        <f t="shared" si="451"/>
        <v>49.387264580966</v>
      </c>
      <c r="AL488" s="32">
        <f t="shared" si="452"/>
        <v>1.55054680797144</v>
      </c>
      <c r="AM488" s="32" t="str">
        <f t="shared" si="432"/>
        <v>1-8,41619618515627i</v>
      </c>
      <c r="AN488" s="32">
        <f t="shared" si="453"/>
        <v>8.47539723122397</v>
      </c>
      <c r="AO488" s="32">
        <f t="shared" si="454"/>
        <v>-1.45253226830134</v>
      </c>
      <c r="AP488" s="30" t="str">
        <f t="shared" si="455"/>
        <v>1,95668503322295-19,8862164562329i</v>
      </c>
      <c r="AQ488" s="32">
        <f t="shared" si="456"/>
        <v>26.0128867432318</v>
      </c>
      <c r="AR488" s="31">
        <f t="shared" si="457"/>
        <v>-84.380525378693</v>
      </c>
      <c r="AS488" t="str">
        <f t="shared" si="433"/>
        <v>-0,0000504684572142411</v>
      </c>
      <c r="AT488" t="str">
        <f t="shared" si="434"/>
        <v>0,707592043377653i</v>
      </c>
      <c r="AU488">
        <f t="shared" si="458"/>
        <v>0.707592043377653</v>
      </c>
      <c r="AV488">
        <f t="shared" si="459"/>
        <v>1.5707963267949</v>
      </c>
      <c r="AW488" t="str">
        <f t="shared" si="435"/>
        <v>1+36,2274147685463i</v>
      </c>
      <c r="AX488">
        <f t="shared" si="460"/>
        <v>36.2412138429756</v>
      </c>
      <c r="AY488">
        <f t="shared" si="461"/>
        <v>1.54319992943168</v>
      </c>
      <c r="AZ488" t="str">
        <f t="shared" si="436"/>
        <v>1+1731,97874436007i</v>
      </c>
      <c r="BA488">
        <f t="shared" si="462"/>
        <v>1731.97903304719</v>
      </c>
      <c r="BB488">
        <f t="shared" si="463"/>
        <v>1.5702189525678</v>
      </c>
      <c r="BC488" s="30" t="str">
        <f t="shared" si="464"/>
        <v>-0,0000920860371397622+0,00340736329124087i</v>
      </c>
      <c r="BD488" s="32">
        <f t="shared" si="465"/>
        <v>-49.3484603389275</v>
      </c>
      <c r="BE488" s="31">
        <f t="shared" si="466"/>
        <v>91.5480759922659</v>
      </c>
      <c r="BF488" s="30" t="str">
        <f t="shared" si="467"/>
        <v>-0,000542308156703965-0,00685327848118737i</v>
      </c>
      <c r="BG488" s="68">
        <f t="shared" si="468"/>
        <v>-43.2549227746052</v>
      </c>
      <c r="BH488" s="31">
        <f t="shared" si="469"/>
        <v>-94.5244558941202</v>
      </c>
      <c r="BI488" s="30" t="str">
        <f t="shared" si="423"/>
        <v>0,0675793805839979+0,00849837962188232i</v>
      </c>
      <c r="BJ488" s="68">
        <f t="shared" si="470"/>
        <v>-23.3355735956957</v>
      </c>
      <c r="BK488" s="31">
        <f t="shared" si="424"/>
        <v>7.1675506135728</v>
      </c>
      <c r="BL488" s="32">
        <f t="shared" si="471"/>
        <v>-43.2549227746052</v>
      </c>
      <c r="BM488" s="31">
        <f t="shared" si="472"/>
        <v>-94.5244558941202</v>
      </c>
      <c r="BO488">
        <f t="shared" si="473"/>
        <v>0</v>
      </c>
      <c r="BP488">
        <f t="shared" si="474"/>
        <v>0</v>
      </c>
    </row>
    <row r="489" spans="14:68">
      <c r="N489" s="7">
        <v>71</v>
      </c>
      <c r="O489" s="18">
        <f t="shared" si="475"/>
        <v>512861.383991365</v>
      </c>
      <c r="P489" s="86" t="str">
        <f t="shared" si="425"/>
        <v>163,636363636364</v>
      </c>
      <c r="Q489" s="4" t="str">
        <f t="shared" si="426"/>
        <v>1+19685,9535600876i</v>
      </c>
      <c r="R489" s="4">
        <f t="shared" si="437"/>
        <v>19685.9535854864</v>
      </c>
      <c r="S489" s="4">
        <f t="shared" si="438"/>
        <v>1.57074552915403</v>
      </c>
      <c r="T489" s="4" t="str">
        <f t="shared" si="427"/>
        <v>1+50,5272808042247i</v>
      </c>
      <c r="U489" s="4">
        <f t="shared" si="439"/>
        <v>50.5371754797295</v>
      </c>
      <c r="V489" s="4">
        <f t="shared" si="440"/>
        <v>1.55100762157019</v>
      </c>
      <c r="W489" t="str">
        <f t="shared" si="428"/>
        <v>1-48,336046687715i</v>
      </c>
      <c r="X489" s="4">
        <f t="shared" si="441"/>
        <v>48.3463898279589</v>
      </c>
      <c r="Y489" s="4">
        <f t="shared" si="442"/>
        <v>-1.55011078393638</v>
      </c>
      <c r="Z489" t="str">
        <f t="shared" si="429"/>
        <v>-1,14715754440439+10,0124668138838i</v>
      </c>
      <c r="AA489" s="4">
        <f t="shared" si="443"/>
        <v>10.0779691471451</v>
      </c>
      <c r="AB489" s="4">
        <f t="shared" si="444"/>
        <v>1.68487182610058</v>
      </c>
      <c r="AC489" s="67" t="str">
        <f t="shared" si="445"/>
        <v>-2,00235176160144+0,227493085800005i</v>
      </c>
      <c r="AD489" s="68">
        <f t="shared" si="446"/>
        <v>6.08650707538746</v>
      </c>
      <c r="AE489" s="31">
        <f t="shared" si="447"/>
        <v>173.518250845694</v>
      </c>
      <c r="AF489" s="32" t="str">
        <f t="shared" si="448"/>
        <v>748,315388573934</v>
      </c>
      <c r="AG489" s="32" t="str">
        <f t="shared" si="430"/>
        <v>1+16040,4066045158i</v>
      </c>
      <c r="AH489" s="32">
        <f t="shared" si="449"/>
        <v>16040.4066356871</v>
      </c>
      <c r="AI489" s="32">
        <f t="shared" si="450"/>
        <v>1.57073398423567</v>
      </c>
      <c r="AJ489" s="32" t="str">
        <f t="shared" si="431"/>
        <v>1+50,5272808042247i</v>
      </c>
      <c r="AK489" s="32">
        <f t="shared" si="451"/>
        <v>50.5371754797295</v>
      </c>
      <c r="AL489" s="32">
        <f t="shared" si="452"/>
        <v>1.55100762157019</v>
      </c>
      <c r="AM489" s="32" t="str">
        <f t="shared" si="432"/>
        <v>1-8,61223457793042i</v>
      </c>
      <c r="AN489" s="32">
        <f t="shared" si="453"/>
        <v>8.67009714047659</v>
      </c>
      <c r="AO489" s="32">
        <f t="shared" si="454"/>
        <v>-1.45520009505149</v>
      </c>
      <c r="AP489" s="30" t="str">
        <f t="shared" si="455"/>
        <v>1,95668489651274-20,3472330554686i</v>
      </c>
      <c r="AQ489" s="32">
        <f t="shared" si="456"/>
        <v>26.2100846290063</v>
      </c>
      <c r="AR489" s="31">
        <f t="shared" si="457"/>
        <v>-84.5070611193631</v>
      </c>
      <c r="AS489" t="str">
        <f t="shared" si="433"/>
        <v>-0,0000504684572142411</v>
      </c>
      <c r="AT489" t="str">
        <f t="shared" si="434"/>
        <v>0,724073979381971i</v>
      </c>
      <c r="AU489">
        <f t="shared" si="458"/>
        <v>0.724073979381971</v>
      </c>
      <c r="AV489">
        <f t="shared" si="459"/>
        <v>1.5707963267949</v>
      </c>
      <c r="AW489" t="str">
        <f t="shared" si="435"/>
        <v>1+37,0712596611017i</v>
      </c>
      <c r="AX489">
        <f t="shared" si="460"/>
        <v>37.0847447457958</v>
      </c>
      <c r="AY489">
        <f t="shared" si="461"/>
        <v>1.54382779204781</v>
      </c>
      <c r="AZ489" t="str">
        <f t="shared" si="436"/>
        <v>1+1772,32171188288i</v>
      </c>
      <c r="BA489">
        <f t="shared" si="462"/>
        <v>1772.32199399868</v>
      </c>
      <c r="BB489">
        <f t="shared" si="463"/>
        <v>1.57023209520693</v>
      </c>
      <c r="BC489" s="30" t="str">
        <f t="shared" si="464"/>
        <v>-0,000087944496356007+0,00332991395189125i</v>
      </c>
      <c r="BD489" s="32">
        <f t="shared" si="465"/>
        <v>-49.5483115809894</v>
      </c>
      <c r="BE489" s="31">
        <f t="shared" si="466"/>
        <v>91.5128551320019</v>
      </c>
      <c r="BF489" s="30" t="str">
        <f t="shared" si="467"/>
        <v>-0,000581436583162628-0,00668766583240581i</v>
      </c>
      <c r="BG489" s="68">
        <f t="shared" si="468"/>
        <v>-43.4618045056019</v>
      </c>
      <c r="BH489" s="31">
        <f t="shared" si="469"/>
        <v>-94.9688940223044</v>
      </c>
      <c r="BI489" s="30" t="str">
        <f t="shared" si="423"/>
        <v>0,0675824555660365+0,00830501949965414i</v>
      </c>
      <c r="BJ489" s="68">
        <f t="shared" si="470"/>
        <v>-23.3382269519831</v>
      </c>
      <c r="BK489" s="31">
        <f t="shared" si="424"/>
        <v>7.00579401263875</v>
      </c>
      <c r="BL489" s="32">
        <f t="shared" si="471"/>
        <v>-43.4618045056019</v>
      </c>
      <c r="BM489" s="31">
        <f t="shared" si="472"/>
        <v>-94.9688940223044</v>
      </c>
      <c r="BO489">
        <f t="shared" si="473"/>
        <v>0</v>
      </c>
      <c r="BP489">
        <f t="shared" si="474"/>
        <v>0</v>
      </c>
    </row>
    <row r="490" spans="14:68">
      <c r="N490" s="7">
        <v>72</v>
      </c>
      <c r="O490" s="18">
        <f t="shared" si="475"/>
        <v>524807.460249773</v>
      </c>
      <c r="P490" s="86" t="str">
        <f t="shared" si="425"/>
        <v>163,636363636364</v>
      </c>
      <c r="Q490" s="4" t="str">
        <f t="shared" si="426"/>
        <v>1+20144,498324402i</v>
      </c>
      <c r="R490" s="4">
        <f t="shared" si="437"/>
        <v>20144.4983492227</v>
      </c>
      <c r="S490" s="4">
        <f t="shared" si="438"/>
        <v>1.5707466854495</v>
      </c>
      <c r="T490" s="4" t="str">
        <f t="shared" si="427"/>
        <v>1+51,7042123659651i</v>
      </c>
      <c r="U490" s="4">
        <f t="shared" si="439"/>
        <v>51.7138818537616</v>
      </c>
      <c r="V490" s="4">
        <f t="shared" si="440"/>
        <v>1.55145795389291</v>
      </c>
      <c r="W490" t="str">
        <f t="shared" si="428"/>
        <v>1-49,4619378500942i</v>
      </c>
      <c r="X490" s="4">
        <f t="shared" si="441"/>
        <v>49.4720456003851</v>
      </c>
      <c r="Y490" s="4">
        <f t="shared" si="442"/>
        <v>-1.55058151462069</v>
      </c>
      <c r="Z490" t="str">
        <f t="shared" si="429"/>
        <v>-1,24834996190872+10,2456871260909i</v>
      </c>
      <c r="AA490" s="4">
        <f t="shared" si="443"/>
        <v>10.321457373508</v>
      </c>
      <c r="AB490" s="4">
        <f t="shared" si="444"/>
        <v>1.69204022138663</v>
      </c>
      <c r="AC490" s="67" t="str">
        <f t="shared" si="445"/>
        <v>-1,99893295488443+0,24167456108167i</v>
      </c>
      <c r="AD490" s="68">
        <f t="shared" si="446"/>
        <v>6.07898693899519</v>
      </c>
      <c r="AE490" s="31">
        <f t="shared" si="447"/>
        <v>173.106297059043</v>
      </c>
      <c r="AF490" s="32" t="str">
        <f t="shared" si="448"/>
        <v>748,315388573934</v>
      </c>
      <c r="AG490" s="32" t="str">
        <f t="shared" si="430"/>
        <v>1+16414,035671735i</v>
      </c>
      <c r="AH490" s="32">
        <f t="shared" si="449"/>
        <v>16414.0357021967</v>
      </c>
      <c r="AI490" s="32">
        <f t="shared" si="450"/>
        <v>1.57073540332557</v>
      </c>
      <c r="AJ490" s="32" t="str">
        <f t="shared" si="431"/>
        <v>1+51,7042123659651i</v>
      </c>
      <c r="AK490" s="32">
        <f t="shared" si="451"/>
        <v>51.7138818537616</v>
      </c>
      <c r="AL490" s="32">
        <f t="shared" si="452"/>
        <v>1.55145795389291</v>
      </c>
      <c r="AM490" s="32" t="str">
        <f t="shared" si="432"/>
        <v>1-8,81283929147421i</v>
      </c>
      <c r="AN490" s="32">
        <f t="shared" si="453"/>
        <v>8.8693932361437</v>
      </c>
      <c r="AO490" s="32">
        <f t="shared" si="454"/>
        <v>-1.45780879273266</v>
      </c>
      <c r="AP490" s="30" t="str">
        <f t="shared" si="455"/>
        <v>1,95668476595551-20,8190380269972i</v>
      </c>
      <c r="AQ490" s="32">
        <f t="shared" si="456"/>
        <v>26.407407035773</v>
      </c>
      <c r="AR490" s="31">
        <f t="shared" si="457"/>
        <v>-84.6308076529116</v>
      </c>
      <c r="AS490" t="str">
        <f t="shared" si="433"/>
        <v>-0,0000504684572142411</v>
      </c>
      <c r="AT490" t="str">
        <f t="shared" si="434"/>
        <v>0,74093982899441i</v>
      </c>
      <c r="AU490">
        <f t="shared" si="458"/>
        <v>0.74093982899441</v>
      </c>
      <c r="AV490">
        <f t="shared" si="459"/>
        <v>1.5707963267949</v>
      </c>
      <c r="AW490" t="str">
        <f t="shared" si="435"/>
        <v>1+37,9347602262256i</v>
      </c>
      <c r="AX490">
        <f t="shared" si="460"/>
        <v>37.9479384607547</v>
      </c>
      <c r="AY490">
        <f t="shared" si="461"/>
        <v>1.54444138331735</v>
      </c>
      <c r="AZ490" t="str">
        <f t="shared" si="436"/>
        <v>1+1813,60438783678i</v>
      </c>
      <c r="BA490">
        <f t="shared" si="462"/>
        <v>1813.60466353084</v>
      </c>
      <c r="BB490">
        <f t="shared" si="463"/>
        <v>1.57024493868326</v>
      </c>
      <c r="BC490" s="30" t="str">
        <f t="shared" si="464"/>
        <v>-0,0000839890906318103+0,00325422012500467i</v>
      </c>
      <c r="BD490" s="32">
        <f t="shared" si="465"/>
        <v>-49.7481695135005</v>
      </c>
      <c r="BE490" s="31">
        <f t="shared" si="466"/>
        <v>91.4784348188989</v>
      </c>
      <c r="BF490" s="30" t="str">
        <f t="shared" si="467"/>
        <v>-0,00061857365925894-0,00652526587693406i</v>
      </c>
      <c r="BG490" s="68">
        <f t="shared" si="468"/>
        <v>-43.6691825745053</v>
      </c>
      <c r="BH490" s="31">
        <f t="shared" si="469"/>
        <v>-95.4152681220577</v>
      </c>
      <c r="BI490" s="30" t="str">
        <f t="shared" si="423"/>
        <v>0,0675853923565461+0,00811605501537905i</v>
      </c>
      <c r="BJ490" s="68">
        <f t="shared" si="470"/>
        <v>-23.3407624777275</v>
      </c>
      <c r="BK490" s="31">
        <f t="shared" si="424"/>
        <v>6.84762716598737</v>
      </c>
      <c r="BL490" s="32">
        <f t="shared" si="471"/>
        <v>-43.6691825745053</v>
      </c>
      <c r="BM490" s="31">
        <f t="shared" si="472"/>
        <v>-95.4152681220577</v>
      </c>
      <c r="BO490">
        <f t="shared" si="473"/>
        <v>0</v>
      </c>
      <c r="BP490">
        <f t="shared" si="474"/>
        <v>0</v>
      </c>
    </row>
    <row r="491" spans="14:68">
      <c r="N491" s="7">
        <v>73</v>
      </c>
      <c r="O491" s="18">
        <f t="shared" si="475"/>
        <v>537031.796370254</v>
      </c>
      <c r="P491" s="86" t="str">
        <f t="shared" si="425"/>
        <v>163,636363636364</v>
      </c>
      <c r="Q491" s="4" t="str">
        <f t="shared" si="426"/>
        <v>1+20613,723968372i</v>
      </c>
      <c r="R491" s="4">
        <f t="shared" si="437"/>
        <v>20613.7239926277</v>
      </c>
      <c r="S491" s="4">
        <f t="shared" si="438"/>
        <v>1.57074781542447</v>
      </c>
      <c r="T491" s="4" t="str">
        <f t="shared" si="427"/>
        <v>1+52,9085581854881i</v>
      </c>
      <c r="U491" s="4">
        <f t="shared" si="439"/>
        <v>52.9180076086315</v>
      </c>
      <c r="V491" s="4">
        <f t="shared" si="440"/>
        <v>1.55189804298072</v>
      </c>
      <c r="W491" t="str">
        <f t="shared" si="428"/>
        <v>1-50,6140543866277i</v>
      </c>
      <c r="X491" s="4">
        <f t="shared" si="441"/>
        <v>50.6239321018479</v>
      </c>
      <c r="Y491" s="4">
        <f t="shared" si="442"/>
        <v>-1.55104153882444</v>
      </c>
      <c r="Z491" t="str">
        <f t="shared" si="429"/>
        <v>-1,35431143112378+10,48433983723i</v>
      </c>
      <c r="AA491" s="4">
        <f t="shared" si="443"/>
        <v>10.571449345998</v>
      </c>
      <c r="AB491" s="4">
        <f t="shared" si="444"/>
        <v>1.69925965909024</v>
      </c>
      <c r="AC491" s="67" t="str">
        <f t="shared" si="445"/>
        <v>-1,99528683146287+0,255904891019503i</v>
      </c>
      <c r="AD491" s="68">
        <f t="shared" si="446"/>
        <v>6.07096378806621</v>
      </c>
      <c r="AE491" s="31">
        <f t="shared" si="447"/>
        <v>172.691446807364</v>
      </c>
      <c r="AF491" s="32" t="str">
        <f t="shared" si="448"/>
        <v>748,315388573934</v>
      </c>
      <c r="AG491" s="32" t="str">
        <f t="shared" si="430"/>
        <v>1+16796,3676779327i</v>
      </c>
      <c r="AH491" s="32">
        <f t="shared" si="449"/>
        <v>16796.367707701</v>
      </c>
      <c r="AI491" s="32">
        <f t="shared" si="450"/>
        <v>1.57073679011304</v>
      </c>
      <c r="AJ491" s="32" t="str">
        <f t="shared" si="431"/>
        <v>1+52,9085581854881i</v>
      </c>
      <c r="AK491" s="32">
        <f t="shared" si="451"/>
        <v>52.9180076086315</v>
      </c>
      <c r="AL491" s="32">
        <f t="shared" si="452"/>
        <v>1.55189804298072</v>
      </c>
      <c r="AM491" s="32" t="str">
        <f t="shared" si="432"/>
        <v>1-9,01811668906206i</v>
      </c>
      <c r="AN491" s="32">
        <f t="shared" si="453"/>
        <v>9.07339124129119</v>
      </c>
      <c r="AO491" s="32">
        <f t="shared" si="454"/>
        <v>-1.4603596024103</v>
      </c>
      <c r="AP491" s="30" t="str">
        <f t="shared" si="455"/>
        <v>1,95668464127434-21,3018815280596i</v>
      </c>
      <c r="AQ491" s="32">
        <f t="shared" si="456"/>
        <v>26.6048484977569</v>
      </c>
      <c r="AR491" s="31">
        <f t="shared" si="457"/>
        <v>-84.7518224915093</v>
      </c>
      <c r="AS491" t="str">
        <f t="shared" si="433"/>
        <v>-0,0000504684572142411</v>
      </c>
      <c r="AT491" t="str">
        <f t="shared" si="434"/>
        <v>0,758198534711681i</v>
      </c>
      <c r="AU491">
        <f t="shared" si="458"/>
        <v>0.758198534711681</v>
      </c>
      <c r="AV491">
        <f t="shared" si="459"/>
        <v>1.5707963267949</v>
      </c>
      <c r="AW491" t="str">
        <f t="shared" si="435"/>
        <v>1+38,8183743033474i</v>
      </c>
      <c r="AX491">
        <f t="shared" si="460"/>
        <v>38.8312526652796</v>
      </c>
      <c r="AY491">
        <f t="shared" si="461"/>
        <v>1.54504102672537</v>
      </c>
      <c r="AZ491" t="str">
        <f t="shared" si="436"/>
        <v>1+1855,84866084301i</v>
      </c>
      <c r="BA491">
        <f t="shared" si="462"/>
        <v>1855.84893026151</v>
      </c>
      <c r="BB491">
        <f t="shared" si="463"/>
        <v>1.57025748980656</v>
      </c>
      <c r="BC491" s="30" t="str">
        <f t="shared" si="464"/>
        <v>-0,0000802114658012025+0,00318024234671762i</v>
      </c>
      <c r="BD491" s="32">
        <f t="shared" si="465"/>
        <v>-49.9480338357598</v>
      </c>
      <c r="BE491" s="31">
        <f t="shared" si="466"/>
        <v>91.4447969087998</v>
      </c>
      <c r="BF491" s="30" t="str">
        <f t="shared" si="467"/>
        <v>-0,000653794689706907-0,00636602218168061i</v>
      </c>
      <c r="BG491" s="68">
        <f t="shared" si="468"/>
        <v>-43.8770700476936</v>
      </c>
      <c r="BH491" s="31">
        <f t="shared" si="469"/>
        <v>-95.8637562838363</v>
      </c>
      <c r="BI491" s="30" t="str">
        <f t="shared" si="423"/>
        <v>0,0675881971571097+0,00793138649704185i</v>
      </c>
      <c r="BJ491" s="68">
        <f t="shared" si="470"/>
        <v>-23.3431853380029</v>
      </c>
      <c r="BK491" s="31">
        <f t="shared" si="424"/>
        <v>6.69297441729058</v>
      </c>
      <c r="BL491" s="32">
        <f t="shared" si="471"/>
        <v>-43.8770700476936</v>
      </c>
      <c r="BM491" s="31">
        <f t="shared" si="472"/>
        <v>-95.8637562838363</v>
      </c>
      <c r="BO491">
        <f t="shared" si="473"/>
        <v>0</v>
      </c>
      <c r="BP491">
        <f t="shared" si="474"/>
        <v>0</v>
      </c>
    </row>
    <row r="492" spans="14:68">
      <c r="N492" s="7">
        <v>74</v>
      </c>
      <c r="O492" s="18">
        <f t="shared" si="475"/>
        <v>549540.873857626</v>
      </c>
      <c r="P492" s="86" t="str">
        <f t="shared" si="425"/>
        <v>163,636363636364</v>
      </c>
      <c r="Q492" s="4" t="str">
        <f t="shared" si="426"/>
        <v>1+21093,8792816449i</v>
      </c>
      <c r="R492" s="4">
        <f t="shared" si="437"/>
        <v>21093.8793053485</v>
      </c>
      <c r="S492" s="4">
        <f t="shared" si="438"/>
        <v>1.57074891967808</v>
      </c>
      <c r="T492" s="4" t="str">
        <f t="shared" si="427"/>
        <v>1+54,1409568228886i</v>
      </c>
      <c r="U492" s="4">
        <f t="shared" si="439"/>
        <v>54.1501911880086</v>
      </c>
      <c r="V492" s="4">
        <f t="shared" si="440"/>
        <v>1.55232812149239</v>
      </c>
      <c r="W492" t="str">
        <f t="shared" si="428"/>
        <v>1-51,7930071647531i</v>
      </c>
      <c r="X492" s="4">
        <f t="shared" si="441"/>
        <v>51.8026600781096</v>
      </c>
      <c r="Y492" s="4">
        <f t="shared" si="442"/>
        <v>-1.5514910996793</v>
      </c>
      <c r="Z492" t="str">
        <f t="shared" si="429"/>
        <v>-1,46526671053228+10,7285514841274i</v>
      </c>
      <c r="AA492" s="4">
        <f t="shared" si="443"/>
        <v>10.8281495870978</v>
      </c>
      <c r="AB492" s="4">
        <f t="shared" si="444"/>
        <v>1.70653289344334</v>
      </c>
      <c r="AC492" s="67" t="str">
        <f t="shared" si="445"/>
        <v>-1,99140824729989+0,270185431155681i</v>
      </c>
      <c r="AD492" s="68">
        <f t="shared" si="446"/>
        <v>6.06242344400276</v>
      </c>
      <c r="AE492" s="31">
        <f t="shared" si="447"/>
        <v>172.273541650411</v>
      </c>
      <c r="AF492" s="32" t="str">
        <f t="shared" si="448"/>
        <v>748,315388573934</v>
      </c>
      <c r="AG492" s="32" t="str">
        <f t="shared" si="430"/>
        <v>1+17187,6053405995i</v>
      </c>
      <c r="AH492" s="32">
        <f t="shared" si="449"/>
        <v>17187.6053696902</v>
      </c>
      <c r="AI492" s="32">
        <f t="shared" si="450"/>
        <v>1.57073814533337</v>
      </c>
      <c r="AJ492" s="32" t="str">
        <f t="shared" si="431"/>
        <v>1+54,1409568228886i</v>
      </c>
      <c r="AK492" s="32">
        <f t="shared" si="451"/>
        <v>54.1501911880086</v>
      </c>
      <c r="AL492" s="32">
        <f t="shared" si="452"/>
        <v>1.55232812149239</v>
      </c>
      <c r="AM492" s="32" t="str">
        <f t="shared" si="432"/>
        <v>1-9,22817561148733i</v>
      </c>
      <c r="AN492" s="32">
        <f t="shared" si="453"/>
        <v>9.28219936849288</v>
      </c>
      <c r="AO492" s="32">
        <f t="shared" si="454"/>
        <v>-1.4628537437081</v>
      </c>
      <c r="AP492" s="30" t="str">
        <f t="shared" si="455"/>
        <v>1,95668452220473-21,7960195686712i</v>
      </c>
      <c r="AQ492" s="32">
        <f t="shared" si="456"/>
        <v>26.8024037832108</v>
      </c>
      <c r="AR492" s="31">
        <f t="shared" si="457"/>
        <v>-84.8701622262098</v>
      </c>
      <c r="AS492" t="str">
        <f t="shared" si="433"/>
        <v>-0,0000504684572142411</v>
      </c>
      <c r="AT492" t="str">
        <f t="shared" si="434"/>
        <v>0,775859247328i</v>
      </c>
      <c r="AU492">
        <f t="shared" si="458"/>
        <v>0.775859247328</v>
      </c>
      <c r="AV492">
        <f t="shared" si="459"/>
        <v>1.5707963267949</v>
      </c>
      <c r="AW492" t="str">
        <f t="shared" si="435"/>
        <v>1+39,7225703963467i</v>
      </c>
      <c r="AX492">
        <f t="shared" si="460"/>
        <v>39.7351557049009</v>
      </c>
      <c r="AY492">
        <f t="shared" si="461"/>
        <v>1.54562703848481</v>
      </c>
      <c r="AZ492" t="str">
        <f t="shared" si="436"/>
        <v>1+1899,07692937428i</v>
      </c>
      <c r="BA492">
        <f t="shared" si="462"/>
        <v>1899.07719266007</v>
      </c>
      <c r="BB492">
        <f t="shared" si="463"/>
        <v>1.57026975523157</v>
      </c>
      <c r="BC492" s="30" t="str">
        <f t="shared" si="464"/>
        <v>-0,0000766036416512642+0,00310794201841846i</v>
      </c>
      <c r="BD492" s="32">
        <f t="shared" si="465"/>
        <v>-50.1479042605627</v>
      </c>
      <c r="BE492" s="31">
        <f t="shared" si="466"/>
        <v>91.4119236653258</v>
      </c>
      <c r="BF492" s="30" t="str">
        <f t="shared" si="467"/>
        <v>-0,000687171530495716-0,00620987855555603i</v>
      </c>
      <c r="BG492" s="68">
        <f t="shared" si="468"/>
        <v>-44.08548081656</v>
      </c>
      <c r="BH492" s="31">
        <f t="shared" si="469"/>
        <v>-96.3145346842633</v>
      </c>
      <c r="BI492" s="30" t="str">
        <f t="shared" si="423"/>
        <v>0,0675908758917807+0,00775091651581156i</v>
      </c>
      <c r="BJ492" s="68">
        <f t="shared" si="470"/>
        <v>-23.3455004773519</v>
      </c>
      <c r="BK492" s="31">
        <f t="shared" si="424"/>
        <v>6.54176143911609</v>
      </c>
      <c r="BL492" s="32">
        <f t="shared" si="471"/>
        <v>-44.08548081656</v>
      </c>
      <c r="BM492" s="31">
        <f t="shared" si="472"/>
        <v>-96.3145346842633</v>
      </c>
      <c r="BO492">
        <f t="shared" si="473"/>
        <v>0</v>
      </c>
      <c r="BP492">
        <f t="shared" si="474"/>
        <v>0</v>
      </c>
    </row>
    <row r="493" spans="14:68">
      <c r="N493" s="7">
        <v>75</v>
      </c>
      <c r="O493" s="18">
        <f t="shared" si="475"/>
        <v>562341.32519035</v>
      </c>
      <c r="P493" s="86" t="str">
        <f t="shared" si="425"/>
        <v>163,636363636364</v>
      </c>
      <c r="Q493" s="4" t="str">
        <f t="shared" si="426"/>
        <v>1+21585,2188489233i</v>
      </c>
      <c r="R493" s="4">
        <f t="shared" si="437"/>
        <v>21585.2188720873</v>
      </c>
      <c r="S493" s="4">
        <f t="shared" si="438"/>
        <v>1.5707499987958</v>
      </c>
      <c r="T493" s="4" t="str">
        <f t="shared" si="427"/>
        <v>1+55,4020617122365i</v>
      </c>
      <c r="U493" s="4">
        <f t="shared" si="439"/>
        <v>55.4110859121752</v>
      </c>
      <c r="V493" s="4">
        <f t="shared" si="440"/>
        <v>1.55274841682449</v>
      </c>
      <c r="W493" t="str">
        <f t="shared" si="428"/>
        <v>1-52,9994212808386i</v>
      </c>
      <c r="X493" s="4">
        <f t="shared" si="441"/>
        <v>53.0088545066181</v>
      </c>
      <c r="Y493" s="4">
        <f t="shared" si="442"/>
        <v>-1.5519304348211</v>
      </c>
      <c r="Z493" t="str">
        <f t="shared" si="429"/>
        <v>-1,58145115115788+10,9784515510308i</v>
      </c>
      <c r="AA493" s="4">
        <f t="shared" si="443"/>
        <v>11.0917711030218</v>
      </c>
      <c r="AB493" s="4">
        <f t="shared" si="444"/>
        <v>1.71386265016967</v>
      </c>
      <c r="AC493" s="67" t="str">
        <f t="shared" si="445"/>
        <v>-1,98729180803757+0,284517266948394i</v>
      </c>
      <c r="AD493" s="68">
        <f t="shared" si="446"/>
        <v>6.05335090680917</v>
      </c>
      <c r="AE493" s="31">
        <f t="shared" si="447"/>
        <v>171.852424795505</v>
      </c>
      <c r="AF493" s="32" t="str">
        <f t="shared" si="448"/>
        <v>748,315388573934</v>
      </c>
      <c r="AG493" s="32" t="str">
        <f t="shared" si="430"/>
        <v>1+17587,9560991227i</v>
      </c>
      <c r="AH493" s="32">
        <f t="shared" si="449"/>
        <v>17587.9561275512</v>
      </c>
      <c r="AI493" s="32">
        <f t="shared" si="450"/>
        <v>1.57073946970512</v>
      </c>
      <c r="AJ493" s="32" t="str">
        <f t="shared" si="431"/>
        <v>1+55,4020617122365i</v>
      </c>
      <c r="AK493" s="32">
        <f t="shared" si="451"/>
        <v>55.4110859121752</v>
      </c>
      <c r="AL493" s="32">
        <f t="shared" si="452"/>
        <v>1.55274841682449</v>
      </c>
      <c r="AM493" s="32" t="str">
        <f t="shared" si="432"/>
        <v>1-9,44312743477112i</v>
      </c>
      <c r="AN493" s="32">
        <f t="shared" si="453"/>
        <v>9.49592837743246</v>
      </c>
      <c r="AO493" s="32">
        <f t="shared" si="454"/>
        <v>-1.46529241486211</v>
      </c>
      <c r="AP493" s="30" t="str">
        <f t="shared" si="455"/>
        <v>1,95668440849414-22,3017141473617i</v>
      </c>
      <c r="AQ493" s="32">
        <f t="shared" si="456"/>
        <v>27.0000678849078</v>
      </c>
      <c r="AR493" s="31">
        <f t="shared" si="457"/>
        <v>-84.9858825231881</v>
      </c>
      <c r="AS493" t="str">
        <f t="shared" si="433"/>
        <v>-0,0000504684572142411</v>
      </c>
      <c r="AT493" t="str">
        <f t="shared" si="434"/>
        <v>0,793931330786962i</v>
      </c>
      <c r="AU493">
        <f t="shared" si="458"/>
        <v>0.793931330786962</v>
      </c>
      <c r="AV493">
        <f t="shared" si="459"/>
        <v>1.5707963267949</v>
      </c>
      <c r="AW493" t="str">
        <f t="shared" si="435"/>
        <v>1+40,6478279219604i</v>
      </c>
      <c r="AX493">
        <f t="shared" si="460"/>
        <v>40.6601268415791</v>
      </c>
      <c r="AY493">
        <f t="shared" si="461"/>
        <v>1.54619972769602</v>
      </c>
      <c r="AZ493" t="str">
        <f t="shared" si="436"/>
        <v>1+1943,31211363074i</v>
      </c>
      <c r="BA493">
        <f t="shared" si="462"/>
        <v>1943.31237092341</v>
      </c>
      <c r="BB493">
        <f t="shared" si="463"/>
        <v>1.57028174146158</v>
      </c>
      <c r="BC493" s="30" t="str">
        <f t="shared" si="464"/>
        <v>-0,0000731579952711262+0,0030372813892491i</v>
      </c>
      <c r="BD493" s="32">
        <f t="shared" si="465"/>
        <v>-50.3477805135982</v>
      </c>
      <c r="BE493" s="31">
        <f t="shared" si="466"/>
        <v>91.3797977509427</v>
      </c>
      <c r="BF493" s="30" t="str">
        <f t="shared" si="467"/>
        <v>-0,000718772715127615-0,00605677913642967i</v>
      </c>
      <c r="BG493" s="68">
        <f t="shared" si="468"/>
        <v>-44.294429606789</v>
      </c>
      <c r="BH493" s="31">
        <f t="shared" si="469"/>
        <v>-96.7677774535522</v>
      </c>
      <c r="BI493" s="30" t="str">
        <f t="shared" si="423"/>
        <v>0,0675934342194314+0,00757454983668383i</v>
      </c>
      <c r="BJ493" s="68">
        <f t="shared" si="470"/>
        <v>-23.3477126286904</v>
      </c>
      <c r="BK493" s="31">
        <f t="shared" si="424"/>
        <v>6.39391522775463</v>
      </c>
      <c r="BL493" s="32">
        <f t="shared" si="471"/>
        <v>-44.294429606789</v>
      </c>
      <c r="BM493" s="31">
        <f t="shared" si="472"/>
        <v>-96.7677774535522</v>
      </c>
      <c r="BO493">
        <f t="shared" si="473"/>
        <v>0</v>
      </c>
      <c r="BP493">
        <f t="shared" si="474"/>
        <v>0</v>
      </c>
    </row>
    <row r="494" spans="14:68">
      <c r="N494" s="7">
        <v>76</v>
      </c>
      <c r="O494" s="18">
        <f t="shared" si="475"/>
        <v>575439.937337157</v>
      </c>
      <c r="P494" s="86" t="str">
        <f t="shared" si="425"/>
        <v>163,636363636364</v>
      </c>
      <c r="Q494" s="4" t="str">
        <f t="shared" si="426"/>
        <v>1+22088,0031849497i</v>
      </c>
      <c r="R494" s="4">
        <f t="shared" si="437"/>
        <v>22088.0032075864</v>
      </c>
      <c r="S494" s="4">
        <f t="shared" si="438"/>
        <v>1.57075105334981</v>
      </c>
      <c r="T494" s="4" t="str">
        <f t="shared" si="427"/>
        <v>1+56,6925415080376i</v>
      </c>
      <c r="U494" s="4">
        <f t="shared" si="439"/>
        <v>56.7013603244275</v>
      </c>
      <c r="V494" s="4">
        <f t="shared" si="440"/>
        <v>1.55315915122886</v>
      </c>
      <c r="W494" t="str">
        <f t="shared" si="428"/>
        <v>1-54,2339363916176i</v>
      </c>
      <c r="X494" s="4">
        <f t="shared" si="441"/>
        <v>54.2431549278803</v>
      </c>
      <c r="Y494" s="4">
        <f t="shared" si="442"/>
        <v>-1.55235977651237</v>
      </c>
      <c r="Z494" t="str">
        <f t="shared" si="429"/>
        <v>-1,70311119577628+11,2341725382636i</v>
      </c>
      <c r="AA494" s="4">
        <f t="shared" si="443"/>
        <v>11.3625358245708</v>
      </c>
      <c r="AB494" s="4">
        <f t="shared" si="444"/>
        <v>1.72125162384715</v>
      </c>
      <c r="AC494" s="67" t="str">
        <f t="shared" si="445"/>
        <v>-1,98293187558148+0,298901195904695i</v>
      </c>
      <c r="AD494" s="68">
        <f t="shared" si="446"/>
        <v>6.04373034526973</v>
      </c>
      <c r="AE494" s="31">
        <f t="shared" si="447"/>
        <v>171.427941248351</v>
      </c>
      <c r="AF494" s="32" t="str">
        <f t="shared" si="448"/>
        <v>748,315388573934</v>
      </c>
      <c r="AG494" s="32" t="str">
        <f t="shared" si="430"/>
        <v>1+17997,6322247738i</v>
      </c>
      <c r="AH494" s="32">
        <f t="shared" si="449"/>
        <v>17997.6322525552</v>
      </c>
      <c r="AI494" s="32">
        <f t="shared" si="450"/>
        <v>1.57074076393049</v>
      </c>
      <c r="AJ494" s="32" t="str">
        <f t="shared" si="431"/>
        <v>1+56,6925415080376i</v>
      </c>
      <c r="AK494" s="32">
        <f t="shared" si="451"/>
        <v>56.7013603244275</v>
      </c>
      <c r="AL494" s="32">
        <f t="shared" si="452"/>
        <v>1.55315915122886</v>
      </c>
      <c r="AM494" s="32" t="str">
        <f t="shared" si="432"/>
        <v>1-9,66308612921543i</v>
      </c>
      <c r="AN494" s="32">
        <f t="shared" si="453"/>
        <v>9.71469163384179</v>
      </c>
      <c r="AO494" s="32">
        <f t="shared" si="454"/>
        <v>-1.46767679280033</v>
      </c>
      <c r="AP494" s="30" t="str">
        <f t="shared" si="455"/>
        <v>1,95668429990137-22,8192333900908i</v>
      </c>
      <c r="AQ494" s="32">
        <f t="shared" si="456"/>
        <v>27.1978360109749</v>
      </c>
      <c r="AR494" s="31">
        <f t="shared" si="457"/>
        <v>-85.0990381215926</v>
      </c>
      <c r="AS494" t="str">
        <f t="shared" si="433"/>
        <v>-0,0000504684572142411</v>
      </c>
      <c r="AT494" t="str">
        <f t="shared" si="434"/>
        <v>0,81242436714643i</v>
      </c>
      <c r="AU494">
        <f t="shared" si="458"/>
        <v>0.81242436714643</v>
      </c>
      <c r="AV494">
        <f t="shared" si="459"/>
        <v>1.5707963267949</v>
      </c>
      <c r="AW494" t="str">
        <f t="shared" si="435"/>
        <v>1+41,5946374639761i</v>
      </c>
      <c r="AX494">
        <f t="shared" si="460"/>
        <v>41.6066565078186</v>
      </c>
      <c r="AY494">
        <f t="shared" si="461"/>
        <v>1.54675939650291</v>
      </c>
      <c r="AZ494" t="str">
        <f t="shared" si="436"/>
        <v>1+1988,57766769264i</v>
      </c>
      <c r="BA494">
        <f t="shared" si="462"/>
        <v>1988.57791912862</v>
      </c>
      <c r="BB494">
        <f t="shared" si="463"/>
        <v>1.57029345485182</v>
      </c>
      <c r="BC494" s="30" t="str">
        <f t="shared" si="464"/>
        <v>-0,0000698672451346364+0,00296822353885964i</v>
      </c>
      <c r="BD494" s="32">
        <f t="shared" si="465"/>
        <v>-50.5476623328699</v>
      </c>
      <c r="BE494" s="31">
        <f t="shared" si="466"/>
        <v>91.3484022182073</v>
      </c>
      <c r="BF494" s="30" t="str">
        <f t="shared" si="467"/>
        <v>-0,000748663578041077-0,00590666847218135i</v>
      </c>
      <c r="BG494" s="68">
        <f t="shared" si="468"/>
        <v>-44.5039319876002</v>
      </c>
      <c r="BH494" s="31">
        <f t="shared" si="469"/>
        <v>-97.2236565334421</v>
      </c>
      <c r="BI494" s="30" t="str">
        <f t="shared" si="423"/>
        <v>0,0675958775455671+0,0074021933701343i</v>
      </c>
      <c r="BJ494" s="68">
        <f t="shared" si="470"/>
        <v>-23.349826321895</v>
      </c>
      <c r="BK494" s="31">
        <f t="shared" si="424"/>
        <v>6.24936409661462</v>
      </c>
      <c r="BL494" s="32">
        <f t="shared" si="471"/>
        <v>-44.5039319876002</v>
      </c>
      <c r="BM494" s="31">
        <f t="shared" si="472"/>
        <v>-97.2236565334421</v>
      </c>
      <c r="BO494">
        <f t="shared" si="473"/>
        <v>0</v>
      </c>
      <c r="BP494">
        <f t="shared" si="474"/>
        <v>0</v>
      </c>
    </row>
    <row r="495" spans="14:68">
      <c r="N495" s="7">
        <v>77</v>
      </c>
      <c r="O495" s="18">
        <f t="shared" si="475"/>
        <v>588843.655355589</v>
      </c>
      <c r="P495" s="86" t="str">
        <f t="shared" si="425"/>
        <v>163,636363636364</v>
      </c>
      <c r="Q495" s="4" t="str">
        <f t="shared" si="426"/>
        <v>1+22602,498872634i</v>
      </c>
      <c r="R495" s="4">
        <f t="shared" si="437"/>
        <v>22602.4988947554</v>
      </c>
      <c r="S495" s="4">
        <f t="shared" si="438"/>
        <v>1.57075208389923</v>
      </c>
      <c r="T495" s="4" t="str">
        <f t="shared" si="427"/>
        <v>1+58,0130804397606i</v>
      </c>
      <c r="U495" s="4">
        <f t="shared" si="439"/>
        <v>58.0216985455453</v>
      </c>
      <c r="V495" s="4">
        <f t="shared" si="440"/>
        <v>1.55356054192766</v>
      </c>
      <c r="W495" t="str">
        <f t="shared" si="428"/>
        <v>1-55,4972070533425i</v>
      </c>
      <c r="X495" s="4">
        <f t="shared" si="441"/>
        <v>55.5062157845549</v>
      </c>
      <c r="Y495" s="4">
        <f t="shared" si="442"/>
        <v>-1.55277935176225</v>
      </c>
      <c r="Z495" t="str">
        <f t="shared" si="429"/>
        <v>-1,83050490165334+11,4958500324781i</v>
      </c>
      <c r="AA495" s="4">
        <f t="shared" si="443"/>
        <v>11.6406750733883</v>
      </c>
      <c r="AB495" s="4">
        <f t="shared" si="444"/>
        <v>1.72870247510055</v>
      </c>
      <c r="AC495" s="67" t="str">
        <f t="shared" si="445"/>
        <v>-1,97832257557949+0,313337709302847i</v>
      </c>
      <c r="AD495" s="68">
        <f t="shared" si="446"/>
        <v>6.03354508727827</v>
      </c>
      <c r="AE495" s="31">
        <f t="shared" si="447"/>
        <v>170.999937973589</v>
      </c>
      <c r="AF495" s="32" t="str">
        <f t="shared" si="448"/>
        <v>748,315388573934</v>
      </c>
      <c r="AG495" s="32" t="str">
        <f t="shared" si="430"/>
        <v>1+18416,8509332573i</v>
      </c>
      <c r="AH495" s="32">
        <f t="shared" si="449"/>
        <v>18416.8509604063</v>
      </c>
      <c r="AI495" s="32">
        <f t="shared" si="450"/>
        <v>1.57074202869569</v>
      </c>
      <c r="AJ495" s="32" t="str">
        <f t="shared" si="431"/>
        <v>1+58,0130804397606i</v>
      </c>
      <c r="AK495" s="32">
        <f t="shared" si="451"/>
        <v>58.0216985455453</v>
      </c>
      <c r="AL495" s="32">
        <f t="shared" si="452"/>
        <v>1.55356054192766</v>
      </c>
      <c r="AM495" s="32" t="str">
        <f t="shared" si="432"/>
        <v>1-9,8881683198315i</v>
      </c>
      <c r="AN495" s="32">
        <f t="shared" si="453"/>
        <v>9.93860516980725</v>
      </c>
      <c r="AO495" s="32">
        <f t="shared" si="454"/>
        <v>-1.47000803324587</v>
      </c>
      <c r="AP495" s="30" t="str">
        <f t="shared" si="455"/>
        <v>1,95668419619608-23,3488516924111i</v>
      </c>
      <c r="AQ495" s="32">
        <f t="shared" si="456"/>
        <v>27.3957035760592</v>
      </c>
      <c r="AR495" s="31">
        <f t="shared" si="457"/>
        <v>-85.209682832883</v>
      </c>
      <c r="AS495" t="str">
        <f t="shared" si="433"/>
        <v>-0,0000504684572142411</v>
      </c>
      <c r="AT495" t="str">
        <f t="shared" si="434"/>
        <v>0,831348161659069i</v>
      </c>
      <c r="AU495">
        <f t="shared" si="458"/>
        <v>0.831348161659069</v>
      </c>
      <c r="AV495">
        <f t="shared" si="459"/>
        <v>1.5707963267949</v>
      </c>
      <c r="AW495" t="str">
        <f t="shared" si="435"/>
        <v>1+42,5635010333452i</v>
      </c>
      <c r="AX495">
        <f t="shared" si="460"/>
        <v>42.5752465667033</v>
      </c>
      <c r="AY495">
        <f t="shared" si="461"/>
        <v>1.54730634024606</v>
      </c>
      <c r="AZ495" t="str">
        <f t="shared" si="436"/>
        <v>1+2034,89759195589i</v>
      </c>
      <c r="BA495">
        <f t="shared" si="462"/>
        <v>2034.89783766849</v>
      </c>
      <c r="BB495">
        <f t="shared" si="463"/>
        <v>1.57030490161289</v>
      </c>
      <c r="BC495" s="30" t="str">
        <f t="shared" si="464"/>
        <v>-0,0000667244358850436+0,00290073236041912i</v>
      </c>
      <c r="BD495" s="32">
        <f t="shared" si="465"/>
        <v>-50.7475494681457</v>
      </c>
      <c r="BE495" s="31">
        <f t="shared" si="466"/>
        <v>91.3177205011915</v>
      </c>
      <c r="BF495" s="30" t="str">
        <f t="shared" si="467"/>
        <v>-0,000776906375260179-0,00575949159622587i</v>
      </c>
      <c r="BG495" s="68">
        <f t="shared" si="468"/>
        <v>-44.7140043808675</v>
      </c>
      <c r="BH495" s="31">
        <f t="shared" si="469"/>
        <v>-97.682341525219</v>
      </c>
      <c r="BI495" s="30" t="str">
        <f t="shared" si="423"/>
        <v>0,0675982110336072+0,00723375612476632i</v>
      </c>
      <c r="BJ495" s="68">
        <f t="shared" si="470"/>
        <v>-23.3518458920865</v>
      </c>
      <c r="BK495" s="31">
        <f t="shared" si="424"/>
        <v>6.10803766830848</v>
      </c>
      <c r="BL495" s="32">
        <f t="shared" si="471"/>
        <v>-44.7140043808675</v>
      </c>
      <c r="BM495" s="31">
        <f t="shared" si="472"/>
        <v>-97.682341525219</v>
      </c>
      <c r="BO495">
        <f t="shared" si="473"/>
        <v>0</v>
      </c>
      <c r="BP495">
        <f t="shared" si="474"/>
        <v>0</v>
      </c>
    </row>
    <row r="496" spans="14:68">
      <c r="N496" s="7">
        <v>78</v>
      </c>
      <c r="O496" s="18">
        <f t="shared" si="475"/>
        <v>602559.586074359</v>
      </c>
      <c r="P496" s="86" t="str">
        <f t="shared" si="425"/>
        <v>163,636363636364</v>
      </c>
      <c r="Q496" s="4" t="str">
        <f t="shared" si="426"/>
        <v>1+23128,9787044001i</v>
      </c>
      <c r="R496" s="4">
        <f t="shared" si="437"/>
        <v>23128.978726018</v>
      </c>
      <c r="S496" s="4">
        <f t="shared" si="438"/>
        <v>1.57075309099049</v>
      </c>
      <c r="T496" s="4" t="str">
        <f t="shared" si="427"/>
        <v>1+59,3643786746269i</v>
      </c>
      <c r="U496" s="4">
        <f t="shared" si="439"/>
        <v>59.3728006365246</v>
      </c>
      <c r="V496" s="4">
        <f t="shared" si="440"/>
        <v>1.5539528012259</v>
      </c>
      <c r="W496" t="str">
        <f t="shared" si="428"/>
        <v>1-56,7899030688395i</v>
      </c>
      <c r="X496" s="4">
        <f t="shared" si="441"/>
        <v>56.7987067684484</v>
      </c>
      <c r="Y496" s="4">
        <f t="shared" si="442"/>
        <v>-1.55318938244385</v>
      </c>
      <c r="Z496" t="str">
        <f t="shared" si="429"/>
        <v>-1,96390248791923+11,7636227785453i</v>
      </c>
      <c r="AA496" s="4">
        <f t="shared" si="443"/>
        <v>11.9264300550485</v>
      </c>
      <c r="AB496" s="4">
        <f t="shared" si="444"/>
        <v>1.73621782761708</v>
      </c>
      <c r="AC496" s="67" t="str">
        <f t="shared" si="445"/>
        <v>-1,97345780587629+0,327826973526221i</v>
      </c>
      <c r="AD496" s="68">
        <f t="shared" si="446"/>
        <v>6.0227776104218</v>
      </c>
      <c r="AE496" s="31">
        <f t="shared" si="447"/>
        <v>170.568264065498</v>
      </c>
      <c r="AF496" s="32" t="str">
        <f t="shared" si="448"/>
        <v>748,315388573934</v>
      </c>
      <c r="AG496" s="32" t="str">
        <f t="shared" si="430"/>
        <v>1+18845,8344998816i</v>
      </c>
      <c r="AH496" s="32">
        <f t="shared" si="449"/>
        <v>18845.8345264127</v>
      </c>
      <c r="AI496" s="32">
        <f t="shared" si="450"/>
        <v>1.57074326467132</v>
      </c>
      <c r="AJ496" s="32" t="str">
        <f t="shared" si="431"/>
        <v>1+59,3643786746269i</v>
      </c>
      <c r="AK496" s="32">
        <f t="shared" si="451"/>
        <v>59.3728006365246</v>
      </c>
      <c r="AL496" s="32">
        <f t="shared" si="452"/>
        <v>1.5539528012259</v>
      </c>
      <c r="AM496" s="32" t="str">
        <f t="shared" si="432"/>
        <v>1-10,1184933481762i</v>
      </c>
      <c r="AN496" s="32">
        <f t="shared" si="453"/>
        <v>10.1677877454777</v>
      </c>
      <c r="AO496" s="32">
        <f t="shared" si="454"/>
        <v>-1.47228727084138</v>
      </c>
      <c r="AP496" s="30" t="str">
        <f t="shared" si="455"/>
        <v>1,95668409715829-23,8908498649568i</v>
      </c>
      <c r="AQ496" s="32">
        <f t="shared" si="456"/>
        <v>27.5936661928195</v>
      </c>
      <c r="AR496" s="31">
        <f t="shared" si="457"/>
        <v>-85.3178695415367</v>
      </c>
      <c r="AS496" t="str">
        <f t="shared" si="433"/>
        <v>-0,0000504684572142411</v>
      </c>
      <c r="AT496" t="str">
        <f t="shared" si="434"/>
        <v>0,850712747971214i</v>
      </c>
      <c r="AU496">
        <f t="shared" si="458"/>
        <v>0.850712747971214</v>
      </c>
      <c r="AV496">
        <f t="shared" si="459"/>
        <v>1.5707963267949</v>
      </c>
      <c r="AW496" t="str">
        <f t="shared" si="435"/>
        <v>1+43,5549323343569i</v>
      </c>
      <c r="AX496">
        <f t="shared" si="460"/>
        <v>43.5664105779947</v>
      </c>
      <c r="AY496">
        <f t="shared" si="461"/>
        <v>1.5478408476126</v>
      </c>
      <c r="AZ496" t="str">
        <f t="shared" si="436"/>
        <v>1+2082,29644585744i</v>
      </c>
      <c r="BA496">
        <f t="shared" si="462"/>
        <v>2082.29668597693</v>
      </c>
      <c r="BB496">
        <f t="shared" si="463"/>
        <v>1.57031608781398</v>
      </c>
      <c r="BC496" s="30" t="str">
        <f t="shared" si="464"/>
        <v>-0,0000637229237913631+0,00283477254388606i</v>
      </c>
      <c r="BD496" s="32">
        <f t="shared" si="465"/>
        <v>-50.9474416804305</v>
      </c>
      <c r="BE496" s="31">
        <f t="shared" si="466"/>
        <v>91.2877364070817</v>
      </c>
      <c r="BF496" s="30" t="str">
        <f t="shared" si="467"/>
        <v>-0,000803560402328068-0,0056151940978665i</v>
      </c>
      <c r="BG496" s="68">
        <f t="shared" si="468"/>
        <v>-44.9246640700087</v>
      </c>
      <c r="BH496" s="31">
        <f t="shared" si="469"/>
        <v>-98.1439995274203</v>
      </c>
      <c r="BI496" s="30" t="str">
        <f t="shared" si="423"/>
        <v>0,0676004396156765+0,00706914916093834i</v>
      </c>
      <c r="BJ496" s="68">
        <f t="shared" si="470"/>
        <v>-23.353775487611</v>
      </c>
      <c r="BK496" s="31">
        <f t="shared" si="424"/>
        <v>5.969866865545</v>
      </c>
      <c r="BL496" s="32">
        <f t="shared" si="471"/>
        <v>-44.9246640700087</v>
      </c>
      <c r="BM496" s="31">
        <f t="shared" si="472"/>
        <v>-98.1439995274203</v>
      </c>
      <c r="BO496">
        <f t="shared" si="473"/>
        <v>0</v>
      </c>
      <c r="BP496">
        <f t="shared" si="474"/>
        <v>0</v>
      </c>
    </row>
    <row r="497" spans="14:68">
      <c r="N497" s="7">
        <v>79</v>
      </c>
      <c r="O497" s="18">
        <f t="shared" si="475"/>
        <v>616595.001861483</v>
      </c>
      <c r="P497" s="86" t="str">
        <f t="shared" si="425"/>
        <v>163,636363636364</v>
      </c>
      <c r="Q497" s="4" t="str">
        <f t="shared" si="426"/>
        <v>1+23667,7218268234i</v>
      </c>
      <c r="R497" s="4">
        <f t="shared" si="437"/>
        <v>23667.7218479492</v>
      </c>
      <c r="S497" s="4">
        <f t="shared" si="438"/>
        <v>1.57075407515755</v>
      </c>
      <c r="T497" s="4" t="str">
        <f t="shared" si="427"/>
        <v>1+60,7471526888466i</v>
      </c>
      <c r="U497" s="4">
        <f t="shared" si="439"/>
        <v>60.7553829697587</v>
      </c>
      <c r="V497" s="4">
        <f t="shared" si="440"/>
        <v>1.55433613662154</v>
      </c>
      <c r="W497" t="str">
        <f t="shared" si="428"/>
        <v>1-58,1127098426467i</v>
      </c>
      <c r="X497" s="4">
        <f t="shared" si="441"/>
        <v>58.1213131755955</v>
      </c>
      <c r="Y497" s="4">
        <f t="shared" si="442"/>
        <v>-1.55359008540905</v>
      </c>
      <c r="Z497" t="str">
        <f t="shared" si="429"/>
        <v>-2,1035869087393+12,0376327531197i</v>
      </c>
      <c r="AA497" s="4">
        <f t="shared" si="443"/>
        <v>12.2200523804769</v>
      </c>
      <c r="AB497" s="4">
        <f t="shared" si="444"/>
        <v>1.74380026497858</v>
      </c>
      <c r="AC497" s="67" t="str">
        <f t="shared" si="445"/>
        <v>-1,96833124602833+0,342368811038525i</v>
      </c>
      <c r="AD497" s="68">
        <f t="shared" si="446"/>
        <v>6.01140953293048</v>
      </c>
      <c r="AE497" s="31">
        <f t="shared" si="447"/>
        <v>170.132770929206</v>
      </c>
      <c r="AF497" s="32" t="str">
        <f t="shared" si="448"/>
        <v>748,315388573934</v>
      </c>
      <c r="AG497" s="32" t="str">
        <f t="shared" si="430"/>
        <v>1+19284,8103774116i</v>
      </c>
      <c r="AH497" s="32">
        <f t="shared" si="449"/>
        <v>19284.8104033387</v>
      </c>
      <c r="AI497" s="32">
        <f t="shared" si="450"/>
        <v>1.57074447251272</v>
      </c>
      <c r="AJ497" s="32" t="str">
        <f t="shared" si="431"/>
        <v>1+60,7471526888466i</v>
      </c>
      <c r="AK497" s="32">
        <f t="shared" si="451"/>
        <v>60.7553829697587</v>
      </c>
      <c r="AL497" s="32">
        <f t="shared" si="452"/>
        <v>1.55433613662154</v>
      </c>
      <c r="AM497" s="32" t="str">
        <f t="shared" si="432"/>
        <v>1-10,3541833356281i</v>
      </c>
      <c r="AN497" s="32">
        <f t="shared" si="453"/>
        <v>10.4023609122064</v>
      </c>
      <c r="AO497" s="32">
        <f t="shared" si="454"/>
        <v>-1.47451561929313</v>
      </c>
      <c r="AP497" s="30" t="str">
        <f t="shared" si="455"/>
        <v>1,95668400257794-24,4455152823331i</v>
      </c>
      <c r="AQ497" s="32">
        <f t="shared" si="456"/>
        <v>27.7917196637334</v>
      </c>
      <c r="AR497" s="31">
        <f t="shared" si="457"/>
        <v>-85.4236502070127</v>
      </c>
      <c r="AS497" t="str">
        <f t="shared" si="433"/>
        <v>-0,0000504684572142411</v>
      </c>
      <c r="AT497" t="str">
        <f t="shared" si="434"/>
        <v>0,870528393442846i</v>
      </c>
      <c r="AU497">
        <f t="shared" si="458"/>
        <v>0.870528393442846</v>
      </c>
      <c r="AV497">
        <f t="shared" si="459"/>
        <v>1.5707963267949</v>
      </c>
      <c r="AW497" t="str">
        <f t="shared" si="435"/>
        <v>1+44,5694570370098i</v>
      </c>
      <c r="AX497">
        <f t="shared" si="460"/>
        <v>44.5806740704295</v>
      </c>
      <c r="AY497">
        <f t="shared" si="461"/>
        <v>1.54836320078305</v>
      </c>
      <c r="AZ497" t="str">
        <f t="shared" si="436"/>
        <v>1+2130,79936089704i</v>
      </c>
      <c r="BA497">
        <f t="shared" si="462"/>
        <v>2130.79959555075</v>
      </c>
      <c r="BB497">
        <f t="shared" si="463"/>
        <v>1.57032701938617</v>
      </c>
      <c r="BC497" s="30" t="str">
        <f t="shared" si="464"/>
        <v>-0,0000608563628473521+0,00277030955954132i</v>
      </c>
      <c r="BD497" s="32">
        <f t="shared" si="465"/>
        <v>-51.1473387414619</v>
      </c>
      <c r="BE497" s="31">
        <f t="shared" si="466"/>
        <v>91.2584341079497</v>
      </c>
      <c r="BF497" s="30" t="str">
        <f t="shared" si="467"/>
        <v>-0,000828682109596741-0,00547372218780834i</v>
      </c>
      <c r="BG497" s="68">
        <f t="shared" si="468"/>
        <v>-45.1359292085315</v>
      </c>
      <c r="BH497" s="31">
        <f t="shared" si="469"/>
        <v>-98.608794962844</v>
      </c>
      <c r="BI497" s="30" t="str">
        <f t="shared" si="423"/>
        <v>0,0676025680029223+0,00690828554535539i</v>
      </c>
      <c r="BJ497" s="68">
        <f t="shared" si="470"/>
        <v>-23.3556190777285</v>
      </c>
      <c r="BK497" s="31">
        <f t="shared" si="424"/>
        <v>5.83478390093705</v>
      </c>
      <c r="BL497" s="32">
        <f t="shared" si="471"/>
        <v>-45.1359292085315</v>
      </c>
      <c r="BM497" s="31">
        <f t="shared" si="472"/>
        <v>-98.608794962844</v>
      </c>
      <c r="BO497">
        <f t="shared" si="473"/>
        <v>0</v>
      </c>
      <c r="BP497">
        <f t="shared" si="474"/>
        <v>0</v>
      </c>
    </row>
    <row r="498" spans="14:68">
      <c r="N498" s="7">
        <v>80</v>
      </c>
      <c r="O498" s="18">
        <f t="shared" si="475"/>
        <v>630957.344480194</v>
      </c>
      <c r="P498" s="86" t="str">
        <f t="shared" si="425"/>
        <v>163,636363636364</v>
      </c>
      <c r="Q498" s="4" t="str">
        <f t="shared" si="426"/>
        <v>1+24219,0138886386i</v>
      </c>
      <c r="R498" s="4">
        <f t="shared" si="437"/>
        <v>24219.0139092835</v>
      </c>
      <c r="S498" s="4">
        <f t="shared" si="438"/>
        <v>1.57075503692224</v>
      </c>
      <c r="T498" s="4" t="str">
        <f t="shared" si="427"/>
        <v>1+62,1621356475056i</v>
      </c>
      <c r="U498" s="4">
        <f t="shared" si="439"/>
        <v>62.1701786088707</v>
      </c>
      <c r="V498" s="4">
        <f t="shared" si="440"/>
        <v>1.55471075091317</v>
      </c>
      <c r="W498" t="str">
        <f t="shared" si="428"/>
        <v>1-59,4663287444251i</v>
      </c>
      <c r="X498" s="4">
        <f t="shared" si="441"/>
        <v>59.4747362696132</v>
      </c>
      <c r="Y498" s="4">
        <f t="shared" si="442"/>
        <v>-1.55398167260088</v>
      </c>
      <c r="Z498" t="str">
        <f t="shared" si="429"/>
        <v>-2,24985445349795+12,3180252399166i</v>
      </c>
      <c r="AA498" s="4">
        <f t="shared" si="443"/>
        <v>12.5218046172725</v>
      </c>
      <c r="AB498" s="4">
        <f t="shared" si="444"/>
        <v>1.75145232730398</v>
      </c>
      <c r="AC498" s="67" t="str">
        <f t="shared" si="445"/>
        <v>-1,96293636796595+0,356962681038762i</v>
      </c>
      <c r="AD498" s="68">
        <f t="shared" si="446"/>
        <v>5.99942160511221</v>
      </c>
      <c r="AE498" s="31">
        <f t="shared" si="447"/>
        <v>169.693312472785</v>
      </c>
      <c r="AF498" s="32" t="str">
        <f t="shared" si="448"/>
        <v>748,315388573934</v>
      </c>
      <c r="AG498" s="32" t="str">
        <f t="shared" si="430"/>
        <v>1+19734,0113166685i</v>
      </c>
      <c r="AH498" s="32">
        <f t="shared" si="449"/>
        <v>19734.0113420055</v>
      </c>
      <c r="AI498" s="32">
        <f t="shared" si="450"/>
        <v>1.57074565286028</v>
      </c>
      <c r="AJ498" s="32" t="str">
        <f t="shared" si="431"/>
        <v>1+62,1621356475056i</v>
      </c>
      <c r="AK498" s="32">
        <f t="shared" si="451"/>
        <v>62.1701786088707</v>
      </c>
      <c r="AL498" s="32">
        <f t="shared" si="452"/>
        <v>1.55471075091317</v>
      </c>
      <c r="AM498" s="32" t="str">
        <f t="shared" si="432"/>
        <v>1-10,5953632481384i</v>
      </c>
      <c r="AN498" s="32">
        <f t="shared" si="453"/>
        <v>10.6424490771627</v>
      </c>
      <c r="AO498" s="32">
        <f t="shared" si="454"/>
        <v>-1.47669417153273</v>
      </c>
      <c r="AP498" s="30" t="str">
        <f t="shared" si="455"/>
        <v>1,9566839122544-25,0131420354862i</v>
      </c>
      <c r="AQ498" s="32">
        <f t="shared" si="456"/>
        <v>27.9898599732128</v>
      </c>
      <c r="AR498" s="31">
        <f t="shared" si="457"/>
        <v>-85.527075866869</v>
      </c>
      <c r="AS498" t="str">
        <f t="shared" si="433"/>
        <v>-0,0000504684572142411</v>
      </c>
      <c r="AT498" t="str">
        <f t="shared" si="434"/>
        <v>0,890805604591487i</v>
      </c>
      <c r="AU498">
        <f t="shared" si="458"/>
        <v>0.890805604591487</v>
      </c>
      <c r="AV498">
        <f t="shared" si="459"/>
        <v>1.5707963267949</v>
      </c>
      <c r="AW498" t="str">
        <f t="shared" si="435"/>
        <v>1+45,6076130557302i</v>
      </c>
      <c r="AX498">
        <f t="shared" si="460"/>
        <v>45.6185748203647</v>
      </c>
      <c r="AY498">
        <f t="shared" si="461"/>
        <v>1.5488736755751</v>
      </c>
      <c r="AZ498" t="str">
        <f t="shared" si="436"/>
        <v>1+2180,43205396225i</v>
      </c>
      <c r="BA498">
        <f t="shared" si="462"/>
        <v>2180.43228327459</v>
      </c>
      <c r="BB498">
        <f t="shared" si="463"/>
        <v>1.5703377021255</v>
      </c>
      <c r="BC498" s="30" t="str">
        <f t="shared" si="464"/>
        <v>-0,0000581186914852038+0,00270730964178454i</v>
      </c>
      <c r="BD498" s="32">
        <f t="shared" si="465"/>
        <v>-51.3472404332304</v>
      </c>
      <c r="BE498" s="31">
        <f t="shared" si="466"/>
        <v>91.2297981326945</v>
      </c>
      <c r="BF498" s="30" t="str">
        <f t="shared" si="467"/>
        <v>-0,0008523252149586-0,00533502275913477i</v>
      </c>
      <c r="BG498" s="68">
        <f t="shared" si="468"/>
        <v>-45.3478188281182</v>
      </c>
      <c r="BH498" s="31">
        <f t="shared" si="469"/>
        <v>-99.0768893945208</v>
      </c>
      <c r="BI498" s="30" t="str">
        <f t="shared" ref="BI498:BI560" si="476">IMPRODUCT(AP498,BC498)</f>
        <v>0,0676046006953676+0,00675108030660704i</v>
      </c>
      <c r="BJ498" s="68">
        <f t="shared" si="470"/>
        <v>-23.3573804600176</v>
      </c>
      <c r="BK498" s="31">
        <f t="shared" ref="BK498:BK560" si="477">(180/PI())*IMARGUMENT(BI498)</f>
        <v>5.70272226582557</v>
      </c>
      <c r="BL498" s="32">
        <f t="shared" si="471"/>
        <v>-45.3478188281182</v>
      </c>
      <c r="BM498" s="31">
        <f t="shared" si="472"/>
        <v>-99.0768893945208</v>
      </c>
      <c r="BO498">
        <f t="shared" si="473"/>
        <v>0</v>
      </c>
      <c r="BP498">
        <f t="shared" si="474"/>
        <v>0</v>
      </c>
    </row>
    <row r="499" spans="14:68">
      <c r="N499" s="7">
        <v>81</v>
      </c>
      <c r="O499" s="18">
        <f t="shared" si="475"/>
        <v>645654.229034657</v>
      </c>
      <c r="P499" s="86" t="str">
        <f t="shared" si="425"/>
        <v>163,636363636364</v>
      </c>
      <c r="Q499" s="4" t="str">
        <f t="shared" si="426"/>
        <v>1+24783,1471921942i</v>
      </c>
      <c r="R499" s="4">
        <f t="shared" si="437"/>
        <v>24783.1472123692</v>
      </c>
      <c r="S499" s="4">
        <f t="shared" si="438"/>
        <v>1.57075597679448</v>
      </c>
      <c r="T499" s="4" t="str">
        <f t="shared" si="427"/>
        <v>1+63,6100777932983i</v>
      </c>
      <c r="U499" s="4">
        <f t="shared" si="439"/>
        <v>63.6179376973937</v>
      </c>
      <c r="V499" s="4">
        <f t="shared" si="440"/>
        <v>1.55507684230543</v>
      </c>
      <c r="W499" t="str">
        <f t="shared" si="428"/>
        <v>1-60,8514774808339i</v>
      </c>
      <c r="X499" s="4">
        <f t="shared" si="441"/>
        <v>60.8596936535211</v>
      </c>
      <c r="Y499" s="4">
        <f t="shared" si="442"/>
        <v>-1.5543643511634</v>
      </c>
      <c r="Z499" t="str">
        <f t="shared" si="429"/>
        <v>-2,40301537526808+12,6049489067441i</v>
      </c>
      <c r="AA499" s="4">
        <f t="shared" si="443"/>
        <v>12.8319608725792</v>
      </c>
      <c r="AB499" s="4">
        <f t="shared" si="444"/>
        <v>1.75917650769681</v>
      </c>
      <c r="AC499" s="67" t="str">
        <f t="shared" si="445"/>
        <v>-1,95726644789142+0,371607659843052i</v>
      </c>
      <c r="AD499" s="68">
        <f t="shared" si="446"/>
        <v>5.98679370139829</v>
      </c>
      <c r="AE499" s="31">
        <f t="shared" si="447"/>
        <v>169.249745310515</v>
      </c>
      <c r="AF499" s="32" t="str">
        <f t="shared" si="448"/>
        <v>748,315388573934</v>
      </c>
      <c r="AG499" s="32" t="str">
        <f t="shared" si="430"/>
        <v>1+20193,675489936i</v>
      </c>
      <c r="AH499" s="32">
        <f t="shared" si="449"/>
        <v>20193.6755146962</v>
      </c>
      <c r="AI499" s="32">
        <f t="shared" si="450"/>
        <v>1.57074680633986</v>
      </c>
      <c r="AJ499" s="32" t="str">
        <f t="shared" si="431"/>
        <v>1+63,6100777932983i</v>
      </c>
      <c r="AK499" s="32">
        <f t="shared" si="451"/>
        <v>63.6179376973937</v>
      </c>
      <c r="AL499" s="32">
        <f t="shared" si="452"/>
        <v>1.55507684230543</v>
      </c>
      <c r="AM499" s="32" t="str">
        <f t="shared" si="432"/>
        <v>1-10,8421609624891i</v>
      </c>
      <c r="AN499" s="32">
        <f t="shared" si="453"/>
        <v>10.888179569447</v>
      </c>
      <c r="AO499" s="32">
        <f t="shared" si="454"/>
        <v>-1.47882399989503</v>
      </c>
      <c r="AP499" s="30" t="str">
        <f t="shared" si="455"/>
        <v>1,9566838259961-25,5940310876345i</v>
      </c>
      <c r="AQ499" s="32">
        <f t="shared" si="456"/>
        <v>28.1880832800174</v>
      </c>
      <c r="AR499" s="31">
        <f t="shared" si="457"/>
        <v>-85.6281966409345</v>
      </c>
      <c r="AS499" t="str">
        <f t="shared" si="433"/>
        <v>-0,0000504684572142411</v>
      </c>
      <c r="AT499" t="str">
        <f t="shared" si="434"/>
        <v>0,91155513266289i</v>
      </c>
      <c r="AU499">
        <f t="shared" si="458"/>
        <v>0.91155513266289</v>
      </c>
      <c r="AV499">
        <f t="shared" si="459"/>
        <v>1.5707963267949</v>
      </c>
      <c r="AW499" t="str">
        <f t="shared" si="435"/>
        <v>1+46,6699508345811i</v>
      </c>
      <c r="AX499">
        <f t="shared" si="460"/>
        <v>46.6806631369159</v>
      </c>
      <c r="AY499">
        <f t="shared" si="461"/>
        <v>1.54937254158448</v>
      </c>
      <c r="AZ499" t="str">
        <f t="shared" si="436"/>
        <v>1+2231,2208409639i</v>
      </c>
      <c r="BA499">
        <f t="shared" si="462"/>
        <v>2231.22106505645</v>
      </c>
      <c r="BB499">
        <f t="shared" si="463"/>
        <v>1.5703481416961</v>
      </c>
      <c r="BC499" s="30" t="str">
        <f t="shared" si="464"/>
        <v>-0,0000555041198772697+0,00264573977319624i</v>
      </c>
      <c r="BD499" s="32">
        <f t="shared" si="465"/>
        <v>-51.5471465475191</v>
      </c>
      <c r="BE499" s="31">
        <f t="shared" si="466"/>
        <v>91.2018133591501</v>
      </c>
      <c r="BF499" s="30" t="str">
        <f t="shared" si="467"/>
        <v>-0,000874540814115619-0,0051990434440281i</v>
      </c>
      <c r="BG499" s="68">
        <f t="shared" si="468"/>
        <v>-45.5603528461208</v>
      </c>
      <c r="BH499" s="31">
        <f t="shared" si="469"/>
        <v>-99.5484413303349</v>
      </c>
      <c r="BI499" s="30" t="str">
        <f t="shared" si="476"/>
        <v>0,0676065419913356+0,0065974503916383i</v>
      </c>
      <c r="BJ499" s="68">
        <f t="shared" si="470"/>
        <v>-23.3590632675017</v>
      </c>
      <c r="BK499" s="31">
        <f t="shared" si="477"/>
        <v>5.57361671821556</v>
      </c>
      <c r="BL499" s="32">
        <f t="shared" si="471"/>
        <v>-45.5603528461208</v>
      </c>
      <c r="BM499" s="31">
        <f t="shared" si="472"/>
        <v>-99.5484413303349</v>
      </c>
      <c r="BO499">
        <f t="shared" si="473"/>
        <v>0</v>
      </c>
      <c r="BP499">
        <f t="shared" si="474"/>
        <v>0</v>
      </c>
    </row>
    <row r="500" spans="14:68">
      <c r="N500" s="7">
        <v>82</v>
      </c>
      <c r="O500" s="18">
        <f t="shared" si="475"/>
        <v>660693.448007597</v>
      </c>
      <c r="P500" s="86" t="str">
        <f t="shared" si="425"/>
        <v>163,636363636364</v>
      </c>
      <c r="Q500" s="4" t="str">
        <f t="shared" si="426"/>
        <v>1+25360,4208484347i</v>
      </c>
      <c r="R500" s="4">
        <f t="shared" si="437"/>
        <v>25360.4208681505</v>
      </c>
      <c r="S500" s="4">
        <f t="shared" si="438"/>
        <v>1.57075689527263</v>
      </c>
      <c r="T500" s="4" t="str">
        <f t="shared" si="427"/>
        <v>1+65,0917468443157i</v>
      </c>
      <c r="U500" s="4">
        <f t="shared" si="439"/>
        <v>65.0994278565064</v>
      </c>
      <c r="V500" s="4">
        <f t="shared" si="440"/>
        <v>1.55543460451209</v>
      </c>
      <c r="W500" t="str">
        <f t="shared" si="428"/>
        <v>1-62,2688904760673i</v>
      </c>
      <c r="X500" s="4">
        <f t="shared" si="441"/>
        <v>62.2769196502241</v>
      </c>
      <c r="Y500" s="4">
        <f t="shared" si="442"/>
        <v>-1.55473832354927</v>
      </c>
      <c r="Z500" t="str">
        <f t="shared" si="429"/>
        <v>-2,56339454889933+12,8985558843282i</v>
      </c>
      <c r="AA500" s="4">
        <f t="shared" si="443"/>
        <v>13.1508074092226</v>
      </c>
      <c r="AB500" s="4">
        <f t="shared" si="444"/>
        <v>1.7669752484928</v>
      </c>
      <c r="AC500" s="67" t="str">
        <f t="shared" si="445"/>
        <v>-1,95131457950347+0,386302421050678i</v>
      </c>
      <c r="AD500" s="68">
        <f t="shared" si="446"/>
        <v>5.97350481313696</v>
      </c>
      <c r="AE500" s="31">
        <f t="shared" si="447"/>
        <v>168.801928977613</v>
      </c>
      <c r="AF500" s="32" t="str">
        <f t="shared" si="448"/>
        <v>748,315388573934</v>
      </c>
      <c r="AG500" s="32" t="str">
        <f t="shared" si="430"/>
        <v>1+20664,0466172431i</v>
      </c>
      <c r="AH500" s="32">
        <f t="shared" si="449"/>
        <v>20664.0466414397</v>
      </c>
      <c r="AI500" s="32">
        <f t="shared" si="450"/>
        <v>1.57074793356303</v>
      </c>
      <c r="AJ500" s="32" t="str">
        <f t="shared" si="431"/>
        <v>1+65,0917468443157i</v>
      </c>
      <c r="AK500" s="32">
        <f t="shared" si="451"/>
        <v>65.0994278565064</v>
      </c>
      <c r="AL500" s="32">
        <f t="shared" si="452"/>
        <v>1.55543460451209</v>
      </c>
      <c r="AM500" s="32" t="str">
        <f t="shared" si="432"/>
        <v>1-11,094707334095i</v>
      </c>
      <c r="AN500" s="32">
        <f t="shared" si="453"/>
        <v>11.1396827077445</v>
      </c>
      <c r="AO500" s="32">
        <f t="shared" si="454"/>
        <v>-1.48090615631047</v>
      </c>
      <c r="AP500" s="30" t="str">
        <f t="shared" si="455"/>
        <v>1,95668374362006-26,1884904338418i</v>
      </c>
      <c r="AQ500" s="32">
        <f t="shared" si="456"/>
        <v>28.3863859099581</v>
      </c>
      <c r="AR500" s="31">
        <f t="shared" si="457"/>
        <v>-85.7270617364452</v>
      </c>
      <c r="AS500" t="str">
        <f t="shared" si="433"/>
        <v>-0,0000504684572142411</v>
      </c>
      <c r="AT500" t="str">
        <f t="shared" si="434"/>
        <v>0,932787979331488i</v>
      </c>
      <c r="AU500">
        <f t="shared" si="458"/>
        <v>0.932787979331488</v>
      </c>
      <c r="AV500">
        <f t="shared" si="459"/>
        <v>1.5707963267949</v>
      </c>
      <c r="AW500" t="str">
        <f t="shared" si="435"/>
        <v>1+47,757033639114i</v>
      </c>
      <c r="AX500">
        <f t="shared" si="460"/>
        <v>47.7675021537391</v>
      </c>
      <c r="AY500">
        <f t="shared" si="461"/>
        <v>1.54986006232275</v>
      </c>
      <c r="AZ500" t="str">
        <f t="shared" si="436"/>
        <v>1+2283,19265078913i</v>
      </c>
      <c r="BA500">
        <f t="shared" si="462"/>
        <v>2283.19286978071</v>
      </c>
      <c r="BB500">
        <f t="shared" si="463"/>
        <v>1.57035834363316</v>
      </c>
      <c r="BC500" s="30" t="str">
        <f t="shared" si="464"/>
        <v>-0,0000530071178002051+0,00258556766886605i</v>
      </c>
      <c r="BD500" s="32">
        <f t="shared" si="465"/>
        <v>-51.7470568854644</v>
      </c>
      <c r="BE500" s="31">
        <f t="shared" si="466"/>
        <v>91.174465006358</v>
      </c>
      <c r="BF500" s="30" t="str">
        <f t="shared" si="467"/>
        <v>-0,000895377488492315-0,00506573266649026i</v>
      </c>
      <c r="BG500" s="68">
        <f t="shared" si="468"/>
        <v>-45.7735520723274</v>
      </c>
      <c r="BH500" s="31">
        <f t="shared" si="469"/>
        <v>-100.023606016029</v>
      </c>
      <c r="BI500" s="30" t="str">
        <f t="shared" si="476"/>
        <v>0,0676083959964534+0,00644731462313601i</v>
      </c>
      <c r="BJ500" s="68">
        <f t="shared" si="470"/>
        <v>-23.3606709755063</v>
      </c>
      <c r="BK500" s="31">
        <f t="shared" si="477"/>
        <v>5.44740326991275</v>
      </c>
      <c r="BL500" s="32">
        <f t="shared" si="471"/>
        <v>-45.7735520723274</v>
      </c>
      <c r="BM500" s="31">
        <f t="shared" si="472"/>
        <v>-100.023606016029</v>
      </c>
      <c r="BO500">
        <f t="shared" si="473"/>
        <v>0</v>
      </c>
      <c r="BP500">
        <f t="shared" si="474"/>
        <v>0</v>
      </c>
    </row>
    <row r="501" spans="14:68">
      <c r="N501" s="7">
        <v>83</v>
      </c>
      <c r="O501" s="18">
        <f t="shared" si="475"/>
        <v>676082.975391983</v>
      </c>
      <c r="P501" s="86" t="str">
        <f t="shared" si="425"/>
        <v>163,636363636364</v>
      </c>
      <c r="Q501" s="4" t="str">
        <f t="shared" si="426"/>
        <v>1+25951,140935494i</v>
      </c>
      <c r="R501" s="4">
        <f t="shared" si="437"/>
        <v>25951.140954761</v>
      </c>
      <c r="S501" s="4">
        <f t="shared" si="438"/>
        <v>1.57075779284365</v>
      </c>
      <c r="T501" s="4" t="str">
        <f t="shared" si="427"/>
        <v>1+66,6079284011013i</v>
      </c>
      <c r="U501" s="4">
        <f t="shared" si="439"/>
        <v>66.6154345920391</v>
      </c>
      <c r="V501" s="4">
        <f t="shared" si="440"/>
        <v>1.55578422685686</v>
      </c>
      <c r="W501" t="str">
        <f t="shared" si="428"/>
        <v>1-63,7193192612576i</v>
      </c>
      <c r="X501" s="4">
        <f t="shared" si="441"/>
        <v>63.7271656918623</v>
      </c>
      <c r="Y501" s="4">
        <f t="shared" si="442"/>
        <v>-1.55510378762494</v>
      </c>
      <c r="Z501" t="str">
        <f t="shared" si="429"/>
        <v>-2,73133216012148+13,1990018469748i</v>
      </c>
      <c r="AA501" s="4">
        <f t="shared" si="443"/>
        <v>13.4786432969108</v>
      </c>
      <c r="AB501" s="4">
        <f t="shared" si="444"/>
        <v>1.77485093730386</v>
      </c>
      <c r="AC501" s="67" t="str">
        <f t="shared" si="445"/>
        <v>-1,94507368863886+0,401045215561886i</v>
      </c>
      <c r="AD501" s="68">
        <f t="shared" si="446"/>
        <v>5.95953304227737</v>
      </c>
      <c r="AE501" s="31">
        <f t="shared" si="447"/>
        <v>168.349726156629</v>
      </c>
      <c r="AF501" s="32" t="str">
        <f t="shared" si="448"/>
        <v>748,315388573934</v>
      </c>
      <c r="AG501" s="32" t="str">
        <f t="shared" si="430"/>
        <v>1+21145,3740955877i</v>
      </c>
      <c r="AH501" s="32">
        <f t="shared" si="449"/>
        <v>21145.3741192335</v>
      </c>
      <c r="AI501" s="32">
        <f t="shared" si="450"/>
        <v>1.57074903512747</v>
      </c>
      <c r="AJ501" s="32" t="str">
        <f t="shared" si="431"/>
        <v>1+66,6079284011013i</v>
      </c>
      <c r="AK501" s="32">
        <f t="shared" si="451"/>
        <v>66.6154345920391</v>
      </c>
      <c r="AL501" s="32">
        <f t="shared" si="452"/>
        <v>1.55578422685686</v>
      </c>
      <c r="AM501" s="32" t="str">
        <f t="shared" si="432"/>
        <v>1-11,3531362663853i</v>
      </c>
      <c r="AN501" s="32">
        <f t="shared" si="453"/>
        <v>11.3970918695566</v>
      </c>
      <c r="AO501" s="32">
        <f t="shared" si="454"/>
        <v>-1.4829416725106</v>
      </c>
      <c r="AP501" s="30" t="str">
        <f t="shared" si="455"/>
        <v>1,95668366495156-26,7968352643226i</v>
      </c>
      <c r="AQ501" s="32">
        <f t="shared" si="456"/>
        <v>28.5847643488829</v>
      </c>
      <c r="AR501" s="31">
        <f t="shared" si="457"/>
        <v>-85.8237194540576</v>
      </c>
      <c r="AS501" t="str">
        <f t="shared" si="433"/>
        <v>-0,0000504684572142411</v>
      </c>
      <c r="AT501" t="str">
        <f t="shared" si="434"/>
        <v>0,954515402533637i</v>
      </c>
      <c r="AU501">
        <f t="shared" si="458"/>
        <v>0.954515402533637</v>
      </c>
      <c r="AV501">
        <f t="shared" si="459"/>
        <v>1.5707963267949</v>
      </c>
      <c r="AW501" t="str">
        <f t="shared" si="435"/>
        <v>1+48,8694378550218i</v>
      </c>
      <c r="AX501">
        <f t="shared" si="460"/>
        <v>48.8796681276156</v>
      </c>
      <c r="AY501">
        <f t="shared" si="461"/>
        <v>1.55033649535237</v>
      </c>
      <c r="AZ501" t="str">
        <f t="shared" si="436"/>
        <v>1+2336,37503957944i</v>
      </c>
      <c r="BA501">
        <f t="shared" si="462"/>
        <v>2336.37525358617</v>
      </c>
      <c r="BB501">
        <f t="shared" si="463"/>
        <v>1.57036831334586</v>
      </c>
      <c r="BC501" s="30" t="str">
        <f t="shared" si="464"/>
        <v>-0,0000506224030370231+0,0025267617609871i</v>
      </c>
      <c r="BD501" s="32">
        <f t="shared" si="465"/>
        <v>-51.9469712571374</v>
      </c>
      <c r="BE501" s="31">
        <f t="shared" si="466"/>
        <v>91.1477386270014</v>
      </c>
      <c r="BF501" s="30" t="str">
        <f t="shared" si="467"/>
        <v>-0,000914881410905617-0,00493503969129304i</v>
      </c>
      <c r="BG501" s="68">
        <f t="shared" si="468"/>
        <v>-45.98743821486</v>
      </c>
      <c r="BH501" s="31">
        <f t="shared" si="469"/>
        <v>-100.502535216369</v>
      </c>
      <c r="BI501" s="30" t="str">
        <f t="shared" si="476"/>
        <v>0,0676101666322579+0,00630059365781495i</v>
      </c>
      <c r="BJ501" s="68">
        <f t="shared" si="470"/>
        <v>-23.3622069082544</v>
      </c>
      <c r="BK501" s="31">
        <f t="shared" si="477"/>
        <v>5.32401917294384</v>
      </c>
      <c r="BL501" s="32">
        <f t="shared" si="471"/>
        <v>-45.98743821486</v>
      </c>
      <c r="BM501" s="31">
        <f t="shared" si="472"/>
        <v>-100.502535216369</v>
      </c>
      <c r="BO501">
        <f t="shared" si="473"/>
        <v>0</v>
      </c>
      <c r="BP501">
        <f t="shared" si="474"/>
        <v>0</v>
      </c>
    </row>
    <row r="502" spans="14:68">
      <c r="N502" s="7">
        <v>84</v>
      </c>
      <c r="O502" s="18">
        <f t="shared" si="475"/>
        <v>691830.970918937</v>
      </c>
      <c r="P502" s="86" t="str">
        <f t="shared" si="425"/>
        <v>163,636363636364</v>
      </c>
      <c r="Q502" s="4" t="str">
        <f t="shared" si="426"/>
        <v>1+26555,6206609812i</v>
      </c>
      <c r="R502" s="4">
        <f t="shared" si="437"/>
        <v>26555.6206798096</v>
      </c>
      <c r="S502" s="4">
        <f t="shared" si="438"/>
        <v>1.57075866998347</v>
      </c>
      <c r="T502" s="4" t="str">
        <f t="shared" si="427"/>
        <v>1+68,159426363185i</v>
      </c>
      <c r="U502" s="4">
        <f t="shared" si="439"/>
        <v>68.1667617109573</v>
      </c>
      <c r="V502" s="4">
        <f t="shared" si="440"/>
        <v>1.55612589437204</v>
      </c>
      <c r="W502" t="str">
        <f t="shared" si="428"/>
        <v>1-65,2035328729448i</v>
      </c>
      <c r="X502" s="4">
        <f t="shared" si="441"/>
        <v>65.2112007182293</v>
      </c>
      <c r="Y502" s="4">
        <f t="shared" si="442"/>
        <v>-1.55546093677357</v>
      </c>
      <c r="Z502" t="str">
        <f t="shared" si="429"/>
        <v>-2,90718442712361+13,50644609511i</v>
      </c>
      <c r="AA502" s="4">
        <f t="shared" si="443"/>
        <v>13.8157811003729</v>
      </c>
      <c r="AB502" s="4">
        <f t="shared" si="444"/>
        <v>1.7828059028553</v>
      </c>
      <c r="AC502" s="67" t="str">
        <f t="shared" si="445"/>
        <v>-1,93853654942178+0,415833851526139i</v>
      </c>
      <c r="AD502" s="68">
        <f t="shared" si="446"/>
        <v>5.94485559609647</v>
      </c>
      <c r="AE502" s="31">
        <f t="shared" si="447"/>
        <v>167.893002915694</v>
      </c>
      <c r="AF502" s="32" t="str">
        <f t="shared" si="448"/>
        <v>748,315388573934</v>
      </c>
      <c r="AG502" s="32" t="str">
        <f t="shared" si="430"/>
        <v>1+21637,9131311698i</v>
      </c>
      <c r="AH502" s="32">
        <f t="shared" si="449"/>
        <v>21637.9131542774</v>
      </c>
      <c r="AI502" s="32">
        <f t="shared" si="450"/>
        <v>1.57075011161725</v>
      </c>
      <c r="AJ502" s="32" t="str">
        <f t="shared" si="431"/>
        <v>1+68,159426363185i</v>
      </c>
      <c r="AK502" s="32">
        <f t="shared" si="451"/>
        <v>68.1667617109573</v>
      </c>
      <c r="AL502" s="32">
        <f t="shared" si="452"/>
        <v>1.55612589437204</v>
      </c>
      <c r="AM502" s="32" t="str">
        <f t="shared" si="432"/>
        <v>1-11,6175847818005i</v>
      </c>
      <c r="AN502" s="32">
        <f t="shared" si="453"/>
        <v>11.6605435620439</v>
      </c>
      <c r="AO502" s="32">
        <f t="shared" si="454"/>
        <v>-1.48493156024521</v>
      </c>
      <c r="AP502" s="30" t="str">
        <f t="shared" si="455"/>
        <v>1,95668358982372-27,4193881315581i</v>
      </c>
      <c r="AQ502" s="32">
        <f t="shared" si="456"/>
        <v>28.783215235934</v>
      </c>
      <c r="AR502" s="31">
        <f t="shared" si="457"/>
        <v>-85.9182171946596</v>
      </c>
      <c r="AS502" t="str">
        <f t="shared" si="433"/>
        <v>-0,0000504684572142411</v>
      </c>
      <c r="AT502" t="str">
        <f t="shared" si="434"/>
        <v>0,976748922436713i</v>
      </c>
      <c r="AU502">
        <f t="shared" si="458"/>
        <v>0.976748922436713</v>
      </c>
      <c r="AV502">
        <f t="shared" si="459"/>
        <v>1.5707963267949</v>
      </c>
      <c r="AW502" t="str">
        <f t="shared" si="435"/>
        <v>1+50,0077532937434i</v>
      </c>
      <c r="AX502">
        <f t="shared" si="460"/>
        <v>50.0177507439899</v>
      </c>
      <c r="AY502">
        <f t="shared" si="461"/>
        <v>1.55080209241876</v>
      </c>
      <c r="AZ502" t="str">
        <f t="shared" si="436"/>
        <v>1+2390,79620534131i</v>
      </c>
      <c r="BA502">
        <f t="shared" si="462"/>
        <v>2390.79641447665</v>
      </c>
      <c r="BB502">
        <f t="shared" si="463"/>
        <v>1.57037805612028</v>
      </c>
      <c r="BC502" s="30" t="str">
        <f t="shared" si="464"/>
        <v>-0,0000483449302935832+0,00246929118371726i</v>
      </c>
      <c r="BD502" s="32">
        <f t="shared" si="465"/>
        <v>-52.1468894811424</v>
      </c>
      <c r="BE502" s="31">
        <f t="shared" si="466"/>
        <v>91.1216200999981</v>
      </c>
      <c r="BF502" s="30" t="str">
        <f t="shared" si="467"/>
        <v>-0,000933096449111328-0,00480691466936662i</v>
      </c>
      <c r="BG502" s="68">
        <f t="shared" si="468"/>
        <v>-46.2020338850459</v>
      </c>
      <c r="BH502" s="31">
        <f t="shared" si="469"/>
        <v>-100.985376984308</v>
      </c>
      <c r="BI502" s="30" t="str">
        <f t="shared" si="476"/>
        <v>0,0676118576444215+0,00615720994558883i</v>
      </c>
      <c r="BJ502" s="68">
        <f t="shared" si="470"/>
        <v>-23.3636742452084</v>
      </c>
      <c r="BK502" s="31">
        <f t="shared" si="477"/>
        <v>5.20340290533857</v>
      </c>
      <c r="BL502" s="32">
        <f t="shared" si="471"/>
        <v>-46.2020338850459</v>
      </c>
      <c r="BM502" s="31">
        <f t="shared" si="472"/>
        <v>-100.985376984308</v>
      </c>
      <c r="BO502">
        <f t="shared" si="473"/>
        <v>0</v>
      </c>
      <c r="BP502">
        <f t="shared" si="474"/>
        <v>0</v>
      </c>
    </row>
    <row r="503" spans="14:68">
      <c r="N503" s="7">
        <v>85</v>
      </c>
      <c r="O503" s="18">
        <f t="shared" si="475"/>
        <v>707945.784384139</v>
      </c>
      <c r="P503" s="86" t="str">
        <f t="shared" si="425"/>
        <v>163,636363636364</v>
      </c>
      <c r="Q503" s="4" t="str">
        <f t="shared" si="426"/>
        <v>1+27174,1805280481i</v>
      </c>
      <c r="R503" s="4">
        <f t="shared" si="437"/>
        <v>27174.1805464479</v>
      </c>
      <c r="S503" s="4">
        <f t="shared" si="438"/>
        <v>1.57075952715715</v>
      </c>
      <c r="T503" s="4" t="str">
        <f t="shared" si="427"/>
        <v>1+69,7470633553233i</v>
      </c>
      <c r="U503" s="4">
        <f t="shared" si="439"/>
        <v>69.7542317475541</v>
      </c>
      <c r="V503" s="4">
        <f t="shared" si="440"/>
        <v>1.55645978789503</v>
      </c>
      <c r="W503" t="str">
        <f t="shared" si="428"/>
        <v>1-66,7223182608323i</v>
      </c>
      <c r="X503" s="4">
        <f t="shared" si="441"/>
        <v>66.7298115844769</v>
      </c>
      <c r="Y503" s="4">
        <f t="shared" si="442"/>
        <v>-1.55580995999571</v>
      </c>
      <c r="Z503" t="str">
        <f t="shared" si="429"/>
        <v>-3,09132435614104+13,8210516397438i</v>
      </c>
      <c r="AA503" s="4">
        <f t="shared" si="443"/>
        <v>14.1625476063926</v>
      </c>
      <c r="AB503" s="4">
        <f t="shared" si="444"/>
        <v>1.79084241061452</v>
      </c>
      <c r="AC503" s="67" t="str">
        <f t="shared" si="445"/>
        <v>-1,93169580201073+0,430665674311507i</v>
      </c>
      <c r="AD503" s="68">
        <f t="shared" si="446"/>
        <v>5.92944878312957</v>
      </c>
      <c r="AE503" s="31">
        <f t="shared" si="447"/>
        <v>167.431628958725</v>
      </c>
      <c r="AF503" s="32" t="str">
        <f t="shared" si="448"/>
        <v>748,315388573934</v>
      </c>
      <c r="AG503" s="32" t="str">
        <f t="shared" si="430"/>
        <v>1+22141,9248747058i</v>
      </c>
      <c r="AH503" s="32">
        <f t="shared" si="449"/>
        <v>22141.9248972874</v>
      </c>
      <c r="AI503" s="32">
        <f t="shared" si="450"/>
        <v>1.57075116360312</v>
      </c>
      <c r="AJ503" s="32" t="str">
        <f t="shared" si="431"/>
        <v>1+69,7470633553233i</v>
      </c>
      <c r="AK503" s="32">
        <f t="shared" si="451"/>
        <v>69.7542317475541</v>
      </c>
      <c r="AL503" s="32">
        <f t="shared" si="452"/>
        <v>1.55645978789503</v>
      </c>
      <c r="AM503" s="32" t="str">
        <f t="shared" si="432"/>
        <v>1-11,888193094444i</v>
      </c>
      <c r="AN503" s="32">
        <f t="shared" si="453"/>
        <v>11.9301774945214</v>
      </c>
      <c r="AO503" s="32">
        <f t="shared" si="454"/>
        <v>-1.48687681151004</v>
      </c>
      <c r="AP503" s="30" t="str">
        <f t="shared" si="455"/>
        <v>1,95668351807718-28,0564791213193i</v>
      </c>
      <c r="AQ503" s="32">
        <f t="shared" si="456"/>
        <v>28.9817353570698</v>
      </c>
      <c r="AR503" s="31">
        <f t="shared" si="457"/>
        <v>-86.0106014669042</v>
      </c>
      <c r="AS503" t="str">
        <f t="shared" si="433"/>
        <v>-0,0000504684572142411</v>
      </c>
      <c r="AT503" t="str">
        <f t="shared" si="434"/>
        <v>0,999500327547267i</v>
      </c>
      <c r="AU503">
        <f t="shared" si="458"/>
        <v>0.999500327547267</v>
      </c>
      <c r="AV503">
        <f t="shared" si="459"/>
        <v>1.5707963267949</v>
      </c>
      <c r="AW503" t="str">
        <f t="shared" si="435"/>
        <v>1+51,1725835051925i</v>
      </c>
      <c r="AX503">
        <f t="shared" si="460"/>
        <v>51.1823534296333</v>
      </c>
      <c r="AY503">
        <f t="shared" si="461"/>
        <v>1.55125709957975</v>
      </c>
      <c r="AZ503" t="str">
        <f t="shared" si="436"/>
        <v>1+2446,48500289718i</v>
      </c>
      <c r="BA503">
        <f t="shared" si="462"/>
        <v>2446.48520727202</v>
      </c>
      <c r="BB503">
        <f t="shared" si="463"/>
        <v>1.57038757712215</v>
      </c>
      <c r="BC503" s="30" t="str">
        <f t="shared" si="464"/>
        <v>-0,0000461698806070078+0,0024131257583058i</v>
      </c>
      <c r="BD503" s="32">
        <f t="shared" si="465"/>
        <v>-52.3468113842349</v>
      </c>
      <c r="BE503" s="31">
        <f t="shared" si="466"/>
        <v>91.0960956232496</v>
      </c>
      <c r="BF503" s="30" t="str">
        <f t="shared" si="467"/>
        <v>-0,000950064267351341-0,00468130867980777i</v>
      </c>
      <c r="BG503" s="68">
        <f t="shared" si="468"/>
        <v>-46.4173626011053</v>
      </c>
      <c r="BH503" s="31">
        <f t="shared" si="469"/>
        <v>-101.472275418026</v>
      </c>
      <c r="BI503" s="30" t="str">
        <f t="shared" si="476"/>
        <v>0,0676134726106092+0,00601708768960877i</v>
      </c>
      <c r="BJ503" s="68">
        <f t="shared" si="470"/>
        <v>-23.365076027165</v>
      </c>
      <c r="BK503" s="31">
        <f t="shared" si="477"/>
        <v>5.08549415634537</v>
      </c>
      <c r="BL503" s="32">
        <f t="shared" si="471"/>
        <v>-46.4173626011053</v>
      </c>
      <c r="BM503" s="31">
        <f t="shared" si="472"/>
        <v>-101.472275418026</v>
      </c>
      <c r="BO503">
        <f t="shared" si="473"/>
        <v>0</v>
      </c>
      <c r="BP503">
        <f t="shared" si="474"/>
        <v>0</v>
      </c>
    </row>
    <row r="504" spans="14:68">
      <c r="N504" s="7">
        <v>86</v>
      </c>
      <c r="O504" s="18">
        <f t="shared" si="475"/>
        <v>724435.960074992</v>
      </c>
      <c r="P504" s="86" t="str">
        <f t="shared" si="425"/>
        <v>163,636363636364</v>
      </c>
      <c r="Q504" s="4" t="str">
        <f t="shared" si="426"/>
        <v>1+27807,1485053238i</v>
      </c>
      <c r="R504" s="4">
        <f t="shared" si="437"/>
        <v>27807.1485233048</v>
      </c>
      <c r="S504" s="4">
        <f t="shared" si="438"/>
        <v>1.57076036481917</v>
      </c>
      <c r="T504" s="4" t="str">
        <f t="shared" si="427"/>
        <v>1+71,3716811636643i</v>
      </c>
      <c r="U504" s="4">
        <f t="shared" si="439"/>
        <v>71.3786863995672</v>
      </c>
      <c r="V504" s="4">
        <f t="shared" si="440"/>
        <v>1.5567860841626</v>
      </c>
      <c r="W504" t="str">
        <f t="shared" si="428"/>
        <v>1-68,276480705036i</v>
      </c>
      <c r="X504" s="4">
        <f t="shared" si="441"/>
        <v>68.2838034783151</v>
      </c>
      <c r="Y504" s="4">
        <f t="shared" si="442"/>
        <v>-1.55615104200776</v>
      </c>
      <c r="Z504" t="str">
        <f t="shared" si="429"/>
        <v>-3,28414253265126+14,1429852889003i</v>
      </c>
      <c r="AA504" s="4">
        <f t="shared" si="443"/>
        <v>14.5192845917703</v>
      </c>
      <c r="AB504" s="4">
        <f t="shared" si="444"/>
        <v>1.79896265821026</v>
      </c>
      <c r="AC504" s="67" t="str">
        <f t="shared" si="445"/>
        <v>-1,92454397203015+0,445537546597945i</v>
      </c>
      <c r="AD504" s="68">
        <f t="shared" si="446"/>
        <v>5.91328801047265</v>
      </c>
      <c r="AE504" s="31">
        <f t="shared" si="447"/>
        <v>166.965477887634</v>
      </c>
      <c r="AF504" s="32" t="str">
        <f t="shared" si="448"/>
        <v>748,315388573934</v>
      </c>
      <c r="AG504" s="32" t="str">
        <f t="shared" si="430"/>
        <v>1+22657,6765598934i</v>
      </c>
      <c r="AH504" s="32">
        <f t="shared" si="449"/>
        <v>22657.676581961</v>
      </c>
      <c r="AI504" s="32">
        <f t="shared" si="450"/>
        <v>1.57075219164288</v>
      </c>
      <c r="AJ504" s="32" t="str">
        <f t="shared" si="431"/>
        <v>1+71,3716811636643i</v>
      </c>
      <c r="AK504" s="32">
        <f t="shared" si="451"/>
        <v>71.3786863995672</v>
      </c>
      <c r="AL504" s="32">
        <f t="shared" si="452"/>
        <v>1.5567860841626</v>
      </c>
      <c r="AM504" s="32" t="str">
        <f t="shared" si="432"/>
        <v>1-12,1651046844251i</v>
      </c>
      <c r="AN504" s="32">
        <f t="shared" si="453"/>
        <v>12.2061366526441</v>
      </c>
      <c r="AO504" s="32">
        <f t="shared" si="454"/>
        <v>-1.48877839878367</v>
      </c>
      <c r="AP504" s="30" t="str">
        <f t="shared" si="455"/>
        <v>1,95668344955978-28,7084460276819i</v>
      </c>
      <c r="AQ504" s="32">
        <f t="shared" si="456"/>
        <v>29.180321638842</v>
      </c>
      <c r="AR504" s="31">
        <f t="shared" si="457"/>
        <v>-86.1009178953945</v>
      </c>
      <c r="AS504" t="str">
        <f t="shared" si="433"/>
        <v>-0,0000504684572142411</v>
      </c>
      <c r="AT504" t="str">
        <f t="shared" si="434"/>
        <v>1,02278168096144i</v>
      </c>
      <c r="AU504">
        <f t="shared" si="458"/>
        <v>1.02278168096144</v>
      </c>
      <c r="AV504">
        <f t="shared" si="459"/>
        <v>1.5707963267949</v>
      </c>
      <c r="AW504" t="str">
        <f t="shared" si="435"/>
        <v>1+52,3645460977653i</v>
      </c>
      <c r="AX504">
        <f t="shared" si="460"/>
        <v>52.3740936725877</v>
      </c>
      <c r="AY504">
        <f t="shared" si="461"/>
        <v>1.5517017573321</v>
      </c>
      <c r="AZ504" t="str">
        <f t="shared" si="436"/>
        <v>1+2503,47095918465i</v>
      </c>
      <c r="BA504">
        <f t="shared" si="462"/>
        <v>2503.47115890735</v>
      </c>
      <c r="BB504">
        <f t="shared" si="463"/>
        <v>1.57039688139964</v>
      </c>
      <c r="BC504" s="30" t="str">
        <f t="shared" si="464"/>
        <v>-0,0000440926512245144+0,00235823597848559i</v>
      </c>
      <c r="BD504" s="32">
        <f t="shared" si="465"/>
        <v>-52.546736800955</v>
      </c>
      <c r="BE504" s="31">
        <f t="shared" si="466"/>
        <v>91.0711517065431</v>
      </c>
      <c r="BF504" s="30" t="str">
        <f t="shared" si="467"/>
        <v>-0,000965824426028507-0,00455817376866863i</v>
      </c>
      <c r="BG504" s="68">
        <f t="shared" si="468"/>
        <v>-46.6334487904823</v>
      </c>
      <c r="BH504" s="31">
        <f t="shared" si="469"/>
        <v>-101.963370405823</v>
      </c>
      <c r="BI504" s="30" t="str">
        <f t="shared" si="476"/>
        <v>0,0676150149479929+0,00588015280715554i</v>
      </c>
      <c r="BJ504" s="68">
        <f t="shared" si="470"/>
        <v>-23.366415162113</v>
      </c>
      <c r="BK504" s="31">
        <f t="shared" si="477"/>
        <v>4.97023381114865</v>
      </c>
      <c r="BL504" s="32">
        <f t="shared" si="471"/>
        <v>-46.6334487904823</v>
      </c>
      <c r="BM504" s="31">
        <f t="shared" si="472"/>
        <v>-101.963370405823</v>
      </c>
      <c r="BO504">
        <f t="shared" si="473"/>
        <v>0</v>
      </c>
      <c r="BP504">
        <f t="shared" si="474"/>
        <v>0</v>
      </c>
    </row>
    <row r="505" spans="14:68">
      <c r="N505" s="7">
        <v>87</v>
      </c>
      <c r="O505" s="18">
        <f t="shared" si="475"/>
        <v>741310.241300918</v>
      </c>
      <c r="P505" s="86" t="str">
        <f t="shared" si="425"/>
        <v>163,636363636364</v>
      </c>
      <c r="Q505" s="4" t="str">
        <f t="shared" si="426"/>
        <v>1+28454,860200808i</v>
      </c>
      <c r="R505" s="4">
        <f t="shared" si="437"/>
        <v>28454.8602183797</v>
      </c>
      <c r="S505" s="4">
        <f t="shared" si="438"/>
        <v>1.57076118341368</v>
      </c>
      <c r="T505" s="4" t="str">
        <f t="shared" si="427"/>
        <v>1+73,0341411820737i</v>
      </c>
      <c r="U505" s="4">
        <f t="shared" si="439"/>
        <v>73.0409869744589</v>
      </c>
      <c r="V505" s="4">
        <f t="shared" si="440"/>
        <v>1.55710495590329</v>
      </c>
      <c r="W505" t="str">
        <f t="shared" si="428"/>
        <v>1-69,8668442430553i</v>
      </c>
      <c r="X505" s="4">
        <f t="shared" si="441"/>
        <v>69.8740003469341</v>
      </c>
      <c r="Y505" s="4">
        <f t="shared" si="442"/>
        <v>-1.55648436333829</v>
      </c>
      <c r="Z505" t="str">
        <f t="shared" si="429"/>
        <v>-3,48604794985818+14,4724177360614i</v>
      </c>
      <c r="AA505" s="4">
        <f t="shared" si="443"/>
        <v>14.8863496343387</v>
      </c>
      <c r="AB505" s="4">
        <f t="shared" si="444"/>
        <v>1.80716877064303</v>
      </c>
      <c r="AC505" s="67" t="str">
        <f t="shared" si="445"/>
        <v>-1,91707349177082+0,460445828710432i</v>
      </c>
      <c r="AD505" s="68">
        <f t="shared" si="446"/>
        <v>5.89634778263283</v>
      </c>
      <c r="AE505" s="31">
        <f t="shared" si="447"/>
        <v>166.494427476502</v>
      </c>
      <c r="AF505" s="32" t="str">
        <f t="shared" si="448"/>
        <v>748,315388573934</v>
      </c>
      <c r="AG505" s="32" t="str">
        <f t="shared" si="430"/>
        <v>1+23185,4416451028i</v>
      </c>
      <c r="AH505" s="32">
        <f t="shared" si="449"/>
        <v>23185.4416666681</v>
      </c>
      <c r="AI505" s="32">
        <f t="shared" si="450"/>
        <v>1.57075319628159</v>
      </c>
      <c r="AJ505" s="32" t="str">
        <f t="shared" si="431"/>
        <v>1+73,0341411820737i</v>
      </c>
      <c r="AK505" s="32">
        <f t="shared" si="451"/>
        <v>73.0409869744589</v>
      </c>
      <c r="AL505" s="32">
        <f t="shared" si="452"/>
        <v>1.55710495590329</v>
      </c>
      <c r="AM505" s="32" t="str">
        <f t="shared" si="432"/>
        <v>1-12,4484663739339i</v>
      </c>
      <c r="AN505" s="32">
        <f t="shared" si="453"/>
        <v>12.4885673743213</v>
      </c>
      <c r="AO505" s="32">
        <f t="shared" si="454"/>
        <v>-1.49063727527257</v>
      </c>
      <c r="AP505" s="30" t="str">
        <f t="shared" si="455"/>
        <v>1,95668338412615-29,3756345321288i</v>
      </c>
      <c r="AQ505" s="32">
        <f t="shared" si="456"/>
        <v>29.3789711424196</v>
      </c>
      <c r="AR505" s="31">
        <f t="shared" si="457"/>
        <v>-86.1892112294556</v>
      </c>
      <c r="AS505" t="str">
        <f t="shared" si="433"/>
        <v>-0,0000504684572142411</v>
      </c>
      <c r="AT505" t="str">
        <f t="shared" si="434"/>
        <v>1,04660532676097i</v>
      </c>
      <c r="AU505">
        <f t="shared" si="458"/>
        <v>1.04660532676097</v>
      </c>
      <c r="AV505">
        <f t="shared" si="459"/>
        <v>1.5707963267949</v>
      </c>
      <c r="AW505" t="str">
        <f t="shared" si="435"/>
        <v>1+53,5842730658056i</v>
      </c>
      <c r="AX505">
        <f t="shared" si="460"/>
        <v>53.5936033495679</v>
      </c>
      <c r="AY505">
        <f t="shared" si="461"/>
        <v>1.5521363007355</v>
      </c>
      <c r="AZ505" t="str">
        <f t="shared" si="436"/>
        <v>1+2561,78428891202i</v>
      </c>
      <c r="BA505">
        <f t="shared" si="462"/>
        <v>2561.78448408848</v>
      </c>
      <c r="BB505">
        <f t="shared" si="463"/>
        <v>1.57040597388597</v>
      </c>
      <c r="BC505" s="30" t="str">
        <f t="shared" si="464"/>
        <v>-0,000042108845932021+0,00230459299612881i</v>
      </c>
      <c r="BD505" s="32">
        <f t="shared" si="465"/>
        <v>-52.7466655732789</v>
      </c>
      <c r="BE505" s="31">
        <f t="shared" si="466"/>
        <v>91.0467751646054</v>
      </c>
      <c r="BF505" s="30" t="str">
        <f t="shared" si="467"/>
        <v>-0,000980414479637448-0,00443746298466044i</v>
      </c>
      <c r="BG505" s="68">
        <f t="shared" si="468"/>
        <v>-46.8503177906461</v>
      </c>
      <c r="BH505" s="31">
        <f t="shared" si="469"/>
        <v>-102.458797358892</v>
      </c>
      <c r="BI505" s="30" t="str">
        <f t="shared" si="476"/>
        <v>0,0676164879204237+0,00574633289136751i</v>
      </c>
      <c r="BJ505" s="68">
        <f t="shared" si="470"/>
        <v>-23.3676944308593</v>
      </c>
      <c r="BK505" s="31">
        <f t="shared" si="477"/>
        <v>4.85756393514977</v>
      </c>
      <c r="BL505" s="32">
        <f t="shared" si="471"/>
        <v>-46.8503177906461</v>
      </c>
      <c r="BM505" s="31">
        <f t="shared" si="472"/>
        <v>-102.458797358892</v>
      </c>
      <c r="BO505">
        <f t="shared" si="473"/>
        <v>0</v>
      </c>
      <c r="BP505">
        <f t="shared" si="474"/>
        <v>0</v>
      </c>
    </row>
    <row r="506" spans="14:68">
      <c r="N506" s="7">
        <v>88</v>
      </c>
      <c r="O506" s="18">
        <f t="shared" si="475"/>
        <v>758577.575029184</v>
      </c>
      <c r="P506" s="86" t="str">
        <f t="shared" si="425"/>
        <v>163,636363636364</v>
      </c>
      <c r="Q506" s="4" t="str">
        <f t="shared" si="426"/>
        <v>1+29117,6590398153i</v>
      </c>
      <c r="R506" s="4">
        <f t="shared" si="437"/>
        <v>29117.659056987</v>
      </c>
      <c r="S506" s="4">
        <f t="shared" si="438"/>
        <v>1.5707619833747</v>
      </c>
      <c r="T506" s="4" t="str">
        <f t="shared" si="427"/>
        <v>1+74,7353248688593i</v>
      </c>
      <c r="U506" s="4">
        <f t="shared" si="439"/>
        <v>74.7420148460954</v>
      </c>
      <c r="V506" s="4">
        <f t="shared" si="440"/>
        <v>1.55741657192758</v>
      </c>
      <c r="W506" t="str">
        <f t="shared" si="428"/>
        <v>1-71,4942521066894i</v>
      </c>
      <c r="X506" s="4">
        <f t="shared" si="441"/>
        <v>71.5012453338742</v>
      </c>
      <c r="Y506" s="4">
        <f t="shared" si="442"/>
        <v>-1.55681010042225</v>
      </c>
      <c r="Z506" t="str">
        <f t="shared" si="429"/>
        <v>-3,69746887622172+14,8095236506714i</v>
      </c>
      <c r="AA506" s="4">
        <f t="shared" si="443"/>
        <v>15.2641169692329</v>
      </c>
      <c r="AB506" s="4">
        <f t="shared" si="444"/>
        <v>1.81546279528871</v>
      </c>
      <c r="AC506" s="67" t="str">
        <f t="shared" si="445"/>
        <v>-1,90927672323828+0,47538635932109i</v>
      </c>
      <c r="AD506" s="68">
        <f t="shared" si="446"/>
        <v>5.87860170211056</v>
      </c>
      <c r="AE506" s="31">
        <f t="shared" si="447"/>
        <v>166.018359957616</v>
      </c>
      <c r="AF506" s="32" t="str">
        <f t="shared" si="448"/>
        <v>748,315388573934</v>
      </c>
      <c r="AG506" s="32" t="str">
        <f t="shared" si="430"/>
        <v>1+23725,499958368i</v>
      </c>
      <c r="AH506" s="32">
        <f t="shared" si="449"/>
        <v>23725.4999794424</v>
      </c>
      <c r="AI506" s="32">
        <f t="shared" si="450"/>
        <v>1.57075417805193</v>
      </c>
      <c r="AJ506" s="32" t="str">
        <f t="shared" si="431"/>
        <v>1+74,7353248688593i</v>
      </c>
      <c r="AK506" s="32">
        <f t="shared" si="451"/>
        <v>74.7420148460954</v>
      </c>
      <c r="AL506" s="32">
        <f t="shared" si="452"/>
        <v>1.55741657192758</v>
      </c>
      <c r="AM506" s="32" t="str">
        <f t="shared" si="432"/>
        <v>1-12,7384284050892i</v>
      </c>
      <c r="AN506" s="32">
        <f t="shared" si="453"/>
        <v>12.7776194274044</v>
      </c>
      <c r="AO506" s="32">
        <f t="shared" si="454"/>
        <v>-1.49245437516344</v>
      </c>
      <c r="AP506" s="30" t="str">
        <f t="shared" si="455"/>
        <v>1,95668332163755-30,0583983868374i</v>
      </c>
      <c r="AQ506" s="32">
        <f t="shared" si="456"/>
        <v>29.5776810578524</v>
      </c>
      <c r="AR506" s="31">
        <f t="shared" si="457"/>
        <v>-86.2755253524324</v>
      </c>
      <c r="AS506" t="str">
        <f t="shared" si="433"/>
        <v>-0,0000504684572142411</v>
      </c>
      <c r="AT506" t="str">
        <f t="shared" si="434"/>
        <v>1,07098389655821i</v>
      </c>
      <c r="AU506">
        <f t="shared" si="458"/>
        <v>1.07098389655821</v>
      </c>
      <c r="AV506">
        <f t="shared" si="459"/>
        <v>1.5707963267949</v>
      </c>
      <c r="AW506" t="str">
        <f t="shared" si="435"/>
        <v>1+54,8324111246972i</v>
      </c>
      <c r="AX506">
        <f t="shared" si="460"/>
        <v>54.8415290609937</v>
      </c>
      <c r="AY506">
        <f t="shared" si="461"/>
        <v>1.55256095953381</v>
      </c>
      <c r="AZ506" t="str">
        <f t="shared" si="436"/>
        <v>1+2621,45591057861i</v>
      </c>
      <c r="BA506">
        <f t="shared" si="462"/>
        <v>2621.45610131231</v>
      </c>
      <c r="BB506">
        <f t="shared" si="463"/>
        <v>1.57041485940212</v>
      </c>
      <c r="BC506" s="30" t="str">
        <f t="shared" si="464"/>
        <v>-0,0000402142658127988+0,00225216860716538i</v>
      </c>
      <c r="BD506" s="32">
        <f t="shared" si="465"/>
        <v>-52.9465975502849</v>
      </c>
      <c r="BE506" s="31">
        <f t="shared" si="466"/>
        <v>91.0229531103031</v>
      </c>
      <c r="BF506" s="30" t="str">
        <f t="shared" si="467"/>
        <v>-0,000993870073079107-0,00431913041188635i</v>
      </c>
      <c r="BG506" s="68">
        <f t="shared" si="468"/>
        <v>-47.0679958481743</v>
      </c>
      <c r="BH506" s="31">
        <f t="shared" si="469"/>
        <v>-102.958686932081</v>
      </c>
      <c r="BI506" s="30" t="str">
        <f t="shared" si="476"/>
        <v>0,0676178946452979+0,00561555717379145i</v>
      </c>
      <c r="BJ506" s="68">
        <f t="shared" si="470"/>
        <v>-23.3689164924325</v>
      </c>
      <c r="BK506" s="31">
        <f t="shared" si="477"/>
        <v>4.74742775787071</v>
      </c>
      <c r="BL506" s="32">
        <f t="shared" si="471"/>
        <v>-47.0679958481743</v>
      </c>
      <c r="BM506" s="31">
        <f t="shared" si="472"/>
        <v>-102.958686932081</v>
      </c>
      <c r="BO506">
        <f t="shared" si="473"/>
        <v>0</v>
      </c>
      <c r="BP506">
        <f t="shared" si="474"/>
        <v>0</v>
      </c>
    </row>
    <row r="507" spans="14:68">
      <c r="N507" s="7">
        <v>89</v>
      </c>
      <c r="O507" s="18">
        <f t="shared" si="475"/>
        <v>776247.116628692</v>
      </c>
      <c r="P507" s="86" t="str">
        <f t="shared" si="425"/>
        <v>163,636363636364</v>
      </c>
      <c r="Q507" s="4" t="str">
        <f t="shared" si="426"/>
        <v>1+29795,8964470634i</v>
      </c>
      <c r="R507" s="4">
        <f t="shared" si="437"/>
        <v>29795.8964638442</v>
      </c>
      <c r="S507" s="4">
        <f t="shared" si="438"/>
        <v>1.57076276512638</v>
      </c>
      <c r="T507" s="4" t="str">
        <f t="shared" si="427"/>
        <v>1+76,4761342141293i</v>
      </c>
      <c r="U507" s="4">
        <f t="shared" si="439"/>
        <v>76.4826719220603</v>
      </c>
      <c r="V507" s="4">
        <f t="shared" si="440"/>
        <v>1.5577210972162</v>
      </c>
      <c r="W507" t="str">
        <f t="shared" si="428"/>
        <v>1-73,1595671691289i</v>
      </c>
      <c r="X507" s="4">
        <f t="shared" si="441"/>
        <v>73.1664012260702</v>
      </c>
      <c r="Y507" s="4">
        <f t="shared" si="442"/>
        <v>-1.5571284256931</v>
      </c>
      <c r="Z507" t="str">
        <f t="shared" si="429"/>
        <v>-3,91885376387234+15,1544817707481i</v>
      </c>
      <c r="AA507" s="4">
        <f t="shared" si="443"/>
        <v>15.652978392707</v>
      </c>
      <c r="AB507" s="4">
        <f t="shared" si="444"/>
        <v>1.82384669669883</v>
      </c>
      <c r="AC507" s="67" t="str">
        <f t="shared" si="445"/>
        <v>-1,90114598312252+0,490354436663352i</v>
      </c>
      <c r="AD507" s="68">
        <f t="shared" si="446"/>
        <v>5.86002247190481</v>
      </c>
      <c r="AE507" s="31">
        <f t="shared" si="447"/>
        <v>165.53716231915</v>
      </c>
      <c r="AF507" s="32" t="str">
        <f t="shared" si="448"/>
        <v>748,315388573934</v>
      </c>
      <c r="AG507" s="32" t="str">
        <f t="shared" si="430"/>
        <v>1+24278,1378457554i</v>
      </c>
      <c r="AH507" s="32">
        <f t="shared" si="449"/>
        <v>24278.1378663501</v>
      </c>
      <c r="AI507" s="32">
        <f t="shared" si="450"/>
        <v>1.57075513747446</v>
      </c>
      <c r="AJ507" s="32" t="str">
        <f t="shared" si="431"/>
        <v>1+76,4761342141293i</v>
      </c>
      <c r="AK507" s="32">
        <f t="shared" si="451"/>
        <v>76.4826719220603</v>
      </c>
      <c r="AL507" s="32">
        <f t="shared" si="452"/>
        <v>1.5577210972162</v>
      </c>
      <c r="AM507" s="32" t="str">
        <f t="shared" si="432"/>
        <v>1-13,0351445195979i</v>
      </c>
      <c r="AN507" s="32">
        <f t="shared" si="453"/>
        <v>13.0734460891841</v>
      </c>
      <c r="AO507" s="32">
        <f t="shared" si="454"/>
        <v>-1.49423061388153</v>
      </c>
      <c r="AP507" s="30" t="str">
        <f t="shared" si="455"/>
        <v>1,95668326196137-30,7570996022401i</v>
      </c>
      <c r="AQ507" s="32">
        <f t="shared" si="456"/>
        <v>29.7764486985633</v>
      </c>
      <c r="AR507" s="31">
        <f t="shared" si="457"/>
        <v>-86.3599032914552</v>
      </c>
      <c r="AS507" t="str">
        <f t="shared" si="433"/>
        <v>-0,0000504684572142411</v>
      </c>
      <c r="AT507" t="str">
        <f t="shared" si="434"/>
        <v>1,09593031619355i</v>
      </c>
      <c r="AU507">
        <f t="shared" si="458"/>
        <v>1.09593031619355</v>
      </c>
      <c r="AV507">
        <f t="shared" si="459"/>
        <v>1.5707963267949</v>
      </c>
      <c r="AW507" t="str">
        <f t="shared" si="435"/>
        <v>1+56,10962205376i</v>
      </c>
      <c r="AX507">
        <f t="shared" si="460"/>
        <v>56.1185324738254</v>
      </c>
      <c r="AY507">
        <f t="shared" si="461"/>
        <v>1.55297595827374</v>
      </c>
      <c r="AZ507" t="str">
        <f t="shared" si="436"/>
        <v>1+2682,51746286805i</v>
      </c>
      <c r="BA507">
        <f t="shared" si="462"/>
        <v>2682.51764926012</v>
      </c>
      <c r="BB507">
        <f t="shared" si="463"/>
        <v>1.57042354265928</v>
      </c>
      <c r="BC507" s="30" t="str">
        <f t="shared" si="464"/>
        <v>-0,0000384049004172754+0,00220093523776193i</v>
      </c>
      <c r="BD507" s="32">
        <f t="shared" si="465"/>
        <v>-53.1465325878344</v>
      </c>
      <c r="BE507" s="31">
        <f t="shared" si="466"/>
        <v>90.9996729479897</v>
      </c>
      <c r="BF507" s="30" t="str">
        <f t="shared" si="467"/>
        <v>-0,00100622503648475-0,00420313119969313i</v>
      </c>
      <c r="BG507" s="68">
        <f t="shared" si="468"/>
        <v>-47.2865101159296</v>
      </c>
      <c r="BH507" s="31">
        <f t="shared" si="469"/>
        <v>-103.46316473286</v>
      </c>
      <c r="BI507" s="30" t="str">
        <f t="shared" si="476"/>
        <v>0,0676192381000999+0,00548775648773799i</v>
      </c>
      <c r="BJ507" s="68">
        <f t="shared" si="470"/>
        <v>-23.3700838892711</v>
      </c>
      <c r="BK507" s="31">
        <f t="shared" si="477"/>
        <v>4.63976965653445</v>
      </c>
      <c r="BL507" s="32">
        <f t="shared" si="471"/>
        <v>-47.2865101159296</v>
      </c>
      <c r="BM507" s="31">
        <f t="shared" si="472"/>
        <v>-103.46316473286</v>
      </c>
      <c r="BO507">
        <f t="shared" si="473"/>
        <v>0</v>
      </c>
      <c r="BP507">
        <f t="shared" si="474"/>
        <v>0</v>
      </c>
    </row>
    <row r="508" spans="14:68">
      <c r="N508" s="7">
        <v>90</v>
      </c>
      <c r="O508" s="18">
        <f t="shared" si="475"/>
        <v>794328.234724283</v>
      </c>
      <c r="P508" s="86" t="str">
        <f t="shared" si="425"/>
        <v>163,636363636364</v>
      </c>
      <c r="Q508" s="4" t="str">
        <f t="shared" si="426"/>
        <v>1+30489,932033003i</v>
      </c>
      <c r="R508" s="4">
        <f t="shared" si="437"/>
        <v>30489.9320494019</v>
      </c>
      <c r="S508" s="4">
        <f t="shared" si="438"/>
        <v>1.57076352908323</v>
      </c>
      <c r="T508" s="4" t="str">
        <f t="shared" si="427"/>
        <v>1+78,257492218041i</v>
      </c>
      <c r="U508" s="4">
        <f t="shared" si="439"/>
        <v>78.2638811218607</v>
      </c>
      <c r="V508" s="4">
        <f t="shared" si="440"/>
        <v>1.55801869300643</v>
      </c>
      <c r="W508" t="str">
        <f t="shared" si="428"/>
        <v>1-74,8636724024627i</v>
      </c>
      <c r="X508" s="4">
        <f t="shared" si="441"/>
        <v>74.8703509113137</v>
      </c>
      <c r="Y508" s="4">
        <f t="shared" si="442"/>
        <v>-1.55743950767291</v>
      </c>
      <c r="Z508" t="str">
        <f t="shared" si="429"/>
        <v>-4,15067219983836+15,507474997653i</v>
      </c>
      <c r="AA508" s="4">
        <f t="shared" si="443"/>
        <v>16.0533442158743</v>
      </c>
      <c r="AB508" s="4">
        <f t="shared" si="444"/>
        <v>1.83232235120288</v>
      </c>
      <c r="AC508" s="67" t="str">
        <f t="shared" si="445"/>
        <v>-1,89267356975397+0,505344800415099i</v>
      </c>
      <c r="AD508" s="68">
        <f t="shared" si="446"/>
        <v>5.84058190013688</v>
      </c>
      <c r="AE508" s="31">
        <f t="shared" si="447"/>
        <v>165.05072661421</v>
      </c>
      <c r="AF508" s="32" t="str">
        <f t="shared" si="448"/>
        <v>748,315388573934</v>
      </c>
      <c r="AG508" s="32" t="str">
        <f t="shared" si="430"/>
        <v>1+24843,6483231876i</v>
      </c>
      <c r="AH508" s="32">
        <f t="shared" si="449"/>
        <v>24843.6483433135</v>
      </c>
      <c r="AI508" s="32">
        <f t="shared" si="450"/>
        <v>1.57075607505786</v>
      </c>
      <c r="AJ508" s="32" t="str">
        <f t="shared" si="431"/>
        <v>1+78,257492218041i</v>
      </c>
      <c r="AK508" s="32">
        <f t="shared" si="451"/>
        <v>78.2638811218607</v>
      </c>
      <c r="AL508" s="32">
        <f t="shared" si="452"/>
        <v>1.55801869300643</v>
      </c>
      <c r="AM508" s="32" t="str">
        <f t="shared" si="432"/>
        <v>1-13,3387720402714i</v>
      </c>
      <c r="AN508" s="32">
        <f t="shared" si="453"/>
        <v>13.3762042277444</v>
      </c>
      <c r="AO508" s="32">
        <f t="shared" si="454"/>
        <v>-1.49596688835447</v>
      </c>
      <c r="AP508" s="30" t="str">
        <f t="shared" si="455"/>
        <v>1,95668320497108-31,4721086389702i</v>
      </c>
      <c r="AQ508" s="32">
        <f t="shared" si="456"/>
        <v>29.9752714960654</v>
      </c>
      <c r="AR508" s="31">
        <f t="shared" si="457"/>
        <v>-86.4423872276218</v>
      </c>
      <c r="AS508" t="str">
        <f t="shared" si="433"/>
        <v>-0,0000504684572142411</v>
      </c>
      <c r="AT508" t="str">
        <f t="shared" si="434"/>
        <v>1,12145781258889i</v>
      </c>
      <c r="AU508">
        <f t="shared" si="458"/>
        <v>1.12145781258889</v>
      </c>
      <c r="AV508">
        <f t="shared" si="459"/>
        <v>1.5707963267949</v>
      </c>
      <c r="AW508" t="str">
        <f t="shared" si="435"/>
        <v>1+57,4165830471343i</v>
      </c>
      <c r="AX508">
        <f t="shared" si="460"/>
        <v>57.4252906723899</v>
      </c>
      <c r="AY508">
        <f t="shared" si="461"/>
        <v>1.55338151642101</v>
      </c>
      <c r="AZ508" t="str">
        <f t="shared" si="436"/>
        <v>1+2745,00132142363i</v>
      </c>
      <c r="BA508">
        <f t="shared" si="462"/>
        <v>2745.0015035729</v>
      </c>
      <c r="BB508">
        <f t="shared" si="463"/>
        <v>1.57043202826143</v>
      </c>
      <c r="BC508" s="30" t="str">
        <f t="shared" si="464"/>
        <v>-0,0000366769193259006+0,0021508659307597i</v>
      </c>
      <c r="BD508" s="32">
        <f t="shared" si="465"/>
        <v>-53.3464705482679</v>
      </c>
      <c r="BE508" s="31">
        <f t="shared" si="466"/>
        <v>90.976922366994</v>
      </c>
      <c r="BF508" s="30" t="str">
        <f t="shared" si="467"/>
        <v>-0,00101751147867127-0,00408942158970974i</v>
      </c>
      <c r="BG508" s="68">
        <f t="shared" si="468"/>
        <v>-47.5058886481311</v>
      </c>
      <c r="BH508" s="31">
        <f t="shared" si="469"/>
        <v>-103.972351018796</v>
      </c>
      <c r="BI508" s="30" t="str">
        <f t="shared" si="476"/>
        <v>0,067620521128674+0,00536286323242948i</v>
      </c>
      <c r="BJ508" s="68">
        <f t="shared" si="470"/>
        <v>-23.3711990522025</v>
      </c>
      <c r="BK508" s="31">
        <f t="shared" si="477"/>
        <v>4.53453513937227</v>
      </c>
      <c r="BL508" s="32">
        <f t="shared" si="471"/>
        <v>-47.5058886481311</v>
      </c>
      <c r="BM508" s="31">
        <f t="shared" si="472"/>
        <v>-103.972351018796</v>
      </c>
      <c r="BO508">
        <f t="shared" si="473"/>
        <v>0</v>
      </c>
      <c r="BP508">
        <f t="shared" si="474"/>
        <v>0</v>
      </c>
    </row>
    <row r="509" spans="14:68">
      <c r="N509" s="7">
        <v>91</v>
      </c>
      <c r="O509" s="18">
        <f t="shared" si="475"/>
        <v>812830.516164101</v>
      </c>
      <c r="P509" s="86" t="str">
        <f t="shared" si="425"/>
        <v>163,636363636364</v>
      </c>
      <c r="Q509" s="4" t="str">
        <f t="shared" si="426"/>
        <v>1+31200,1337844885i</v>
      </c>
      <c r="R509" s="4">
        <f t="shared" si="437"/>
        <v>31200.1338005141</v>
      </c>
      <c r="S509" s="4">
        <f t="shared" si="438"/>
        <v>1.57076427565029</v>
      </c>
      <c r="T509" s="4" t="str">
        <f t="shared" si="427"/>
        <v>1+80,0803433801871i</v>
      </c>
      <c r="U509" s="4">
        <f t="shared" si="439"/>
        <v>80.0865868662704</v>
      </c>
      <c r="V509" s="4">
        <f t="shared" si="440"/>
        <v>1.55830951687653</v>
      </c>
      <c r="W509" t="str">
        <f t="shared" si="428"/>
        <v>1-76,6074713458423i</v>
      </c>
      <c r="X509" s="4">
        <f t="shared" si="441"/>
        <v>76.613997846373</v>
      </c>
      <c r="Y509" s="4">
        <f t="shared" si="442"/>
        <v>-1.5577435110605</v>
      </c>
      <c r="Z509" t="str">
        <f t="shared" si="429"/>
        <v>-4,39341590210288+15,8686904930673i</v>
      </c>
      <c r="AA509" s="4">
        <f t="shared" si="443"/>
        <v>16.465644270833</v>
      </c>
      <c r="AB509" s="4">
        <f t="shared" si="444"/>
        <v>1.84089154131965</v>
      </c>
      <c r="AC509" s="67" t="str">
        <f t="shared" si="445"/>
        <v>-1,88385179210193+0,520351614422051i</v>
      </c>
      <c r="AD509" s="68">
        <f t="shared" si="446"/>
        <v>5.82025090699648</v>
      </c>
      <c r="AE509" s="31">
        <f t="shared" si="447"/>
        <v>164.558950280804</v>
      </c>
      <c r="AF509" s="32" t="str">
        <f t="shared" si="448"/>
        <v>748,315388573934</v>
      </c>
      <c r="AG509" s="32" t="str">
        <f t="shared" si="430"/>
        <v>1+25422,3312318054i</v>
      </c>
      <c r="AH509" s="32">
        <f t="shared" si="449"/>
        <v>25422.3312514731</v>
      </c>
      <c r="AI509" s="32">
        <f t="shared" si="450"/>
        <v>1.57075699129925</v>
      </c>
      <c r="AJ509" s="32" t="str">
        <f t="shared" si="431"/>
        <v>1+80,0803433801871i</v>
      </c>
      <c r="AK509" s="32">
        <f t="shared" si="451"/>
        <v>80.0865868662704</v>
      </c>
      <c r="AL509" s="32">
        <f t="shared" si="452"/>
        <v>1.55830951687653</v>
      </c>
      <c r="AM509" s="32" t="str">
        <f t="shared" si="432"/>
        <v>1-13,6494719544402i</v>
      </c>
      <c r="AN509" s="32">
        <f t="shared" si="453"/>
        <v>13.6860543852145</v>
      </c>
      <c r="AO509" s="32">
        <f t="shared" si="454"/>
        <v>-1.49766407728048</v>
      </c>
      <c r="AP509" s="30" t="str">
        <f t="shared" si="455"/>
        <v>1,95668315054577-32,2038046042831i</v>
      </c>
      <c r="AQ509" s="32">
        <f t="shared" si="456"/>
        <v>30.1741469948917</v>
      </c>
      <c r="AR509" s="31">
        <f t="shared" si="457"/>
        <v>-86.5230185065451</v>
      </c>
      <c r="AS509" t="str">
        <f t="shared" si="433"/>
        <v>-0,0000504684572142411</v>
      </c>
      <c r="AT509" t="str">
        <f t="shared" si="434"/>
        <v>1,14757992076072i</v>
      </c>
      <c r="AU509">
        <f t="shared" si="458"/>
        <v>1.14757992076072</v>
      </c>
      <c r="AV509">
        <f t="shared" si="459"/>
        <v>1.5707963267949</v>
      </c>
      <c r="AW509" t="str">
        <f t="shared" si="435"/>
        <v>1+58,7539870728385i</v>
      </c>
      <c r="AX509">
        <f t="shared" si="460"/>
        <v>58.7624965173815</v>
      </c>
      <c r="AY509">
        <f t="shared" si="461"/>
        <v>1.55377784847396</v>
      </c>
      <c r="AZ509" t="str">
        <f t="shared" si="436"/>
        <v>1+2808,94061601421i</v>
      </c>
      <c r="BA509">
        <f t="shared" si="462"/>
        <v>2808.94079401726</v>
      </c>
      <c r="BB509">
        <f t="shared" si="463"/>
        <v>1.57044032070774</v>
      </c>
      <c r="BC509" s="30" t="str">
        <f t="shared" si="464"/>
        <v>-0,0000350266640877653+0,00210193433236883i</v>
      </c>
      <c r="BD509" s="32">
        <f t="shared" si="465"/>
        <v>-53.5464113001139</v>
      </c>
      <c r="BE509" s="31">
        <f t="shared" si="466"/>
        <v>90.9546893352497</v>
      </c>
      <c r="BF509" s="30" t="str">
        <f t="shared" si="467"/>
        <v>-0,00102775987934417-0,00397795894011948i</v>
      </c>
      <c r="BG509" s="68">
        <f t="shared" si="468"/>
        <v>-47.7261603931174</v>
      </c>
      <c r="BH509" s="31">
        <f t="shared" si="469"/>
        <v>-104.486360383946</v>
      </c>
      <c r="BI509" s="30" t="str">
        <f t="shared" si="476"/>
        <v>0,0676217464471997+0,00524081133792202i</v>
      </c>
      <c r="BJ509" s="68">
        <f t="shared" si="470"/>
        <v>-23.3722643052222</v>
      </c>
      <c r="BK509" s="31">
        <f t="shared" si="477"/>
        <v>4.43167082870461</v>
      </c>
      <c r="BL509" s="32">
        <f t="shared" si="471"/>
        <v>-47.7261603931174</v>
      </c>
      <c r="BM509" s="31">
        <f t="shared" si="472"/>
        <v>-104.486360383946</v>
      </c>
      <c r="BO509">
        <f t="shared" si="473"/>
        <v>0</v>
      </c>
      <c r="BP509">
        <f t="shared" si="474"/>
        <v>0</v>
      </c>
    </row>
    <row r="510" spans="14:68">
      <c r="N510" s="7">
        <v>92</v>
      </c>
      <c r="O510" s="18">
        <f t="shared" si="475"/>
        <v>831763.771102671</v>
      </c>
      <c r="P510" s="86" t="str">
        <f t="shared" si="425"/>
        <v>163,636363636364</v>
      </c>
      <c r="Q510" s="4" t="str">
        <f t="shared" si="426"/>
        <v>1+31926,878259889i</v>
      </c>
      <c r="R510" s="4">
        <f t="shared" si="437"/>
        <v>31926.8782755498</v>
      </c>
      <c r="S510" s="4">
        <f t="shared" si="438"/>
        <v>1.57076500522341</v>
      </c>
      <c r="T510" s="4" t="str">
        <f t="shared" si="427"/>
        <v>1+81,9456542003818i</v>
      </c>
      <c r="U510" s="4">
        <f t="shared" si="439"/>
        <v>81.951755578075</v>
      </c>
      <c r="V510" s="4">
        <f t="shared" si="440"/>
        <v>1.55859372282828</v>
      </c>
      <c r="W510" t="str">
        <f t="shared" si="428"/>
        <v>1-78,3918885845489i</v>
      </c>
      <c r="X510" s="4">
        <f t="shared" si="441"/>
        <v>78.3982665360168</v>
      </c>
      <c r="Y510" s="4">
        <f t="shared" si="442"/>
        <v>-1.55804059681759</v>
      </c>
      <c r="Z510" t="str">
        <f t="shared" si="429"/>
        <v>-4,64759976260361+16,238319778228i</v>
      </c>
      <c r="AA510" s="4">
        <f t="shared" si="443"/>
        <v>16.8903289717324</v>
      </c>
      <c r="AB510" s="4">
        <f t="shared" si="444"/>
        <v>1.84955594998703</v>
      </c>
      <c r="AC510" s="67" t="str">
        <f t="shared" si="445"/>
        <v>-1,87467300085952+0,535368450446502i</v>
      </c>
      <c r="AD510" s="68">
        <f t="shared" si="446"/>
        <v>5.79899953421538</v>
      </c>
      <c r="AE510" s="31">
        <f t="shared" si="447"/>
        <v>164.061736472239</v>
      </c>
      <c r="AF510" s="32" t="str">
        <f t="shared" si="448"/>
        <v>748,315388573934</v>
      </c>
      <c r="AG510" s="32" t="str">
        <f t="shared" si="430"/>
        <v>1+26014,4933969466i</v>
      </c>
      <c r="AH510" s="32">
        <f t="shared" si="449"/>
        <v>26014.4934161667</v>
      </c>
      <c r="AI510" s="32">
        <f t="shared" si="450"/>
        <v>1.57075788668445</v>
      </c>
      <c r="AJ510" s="32" t="str">
        <f t="shared" si="431"/>
        <v>1+81,9456542003818i</v>
      </c>
      <c r="AK510" s="32">
        <f t="shared" si="451"/>
        <v>81.951755578075</v>
      </c>
      <c r="AL510" s="32">
        <f t="shared" si="452"/>
        <v>1.55859372282828</v>
      </c>
      <c r="AM510" s="32" t="str">
        <f t="shared" si="432"/>
        <v>1-13,9674089993113i</v>
      </c>
      <c r="AN510" s="32">
        <f t="shared" si="453"/>
        <v>14.0031608629638</v>
      </c>
      <c r="AO510" s="32">
        <f t="shared" si="454"/>
        <v>-1.49932304140035</v>
      </c>
      <c r="AP510" s="30" t="str">
        <f t="shared" si="455"/>
        <v>1,95668309857-32,9525754530644i</v>
      </c>
      <c r="AQ510" s="32">
        <f t="shared" si="456"/>
        <v>30.373072847733</v>
      </c>
      <c r="AR510" s="31">
        <f t="shared" si="457"/>
        <v>-86.6018376492222</v>
      </c>
      <c r="AS510" t="str">
        <f t="shared" si="433"/>
        <v>-0,0000504684572142411</v>
      </c>
      <c r="AT510" t="str">
        <f t="shared" si="434"/>
        <v>1,17431049099654i</v>
      </c>
      <c r="AU510">
        <f t="shared" si="458"/>
        <v>1.17431049099654</v>
      </c>
      <c r="AV510">
        <f t="shared" si="459"/>
        <v>1.5707963267949</v>
      </c>
      <c r="AW510" t="str">
        <f t="shared" si="435"/>
        <v>1+60,1225432401895i</v>
      </c>
      <c r="AX510">
        <f t="shared" si="460"/>
        <v>60.1308590132259</v>
      </c>
      <c r="AY510">
        <f t="shared" si="461"/>
        <v>1.55416516407477</v>
      </c>
      <c r="AZ510" t="str">
        <f t="shared" si="436"/>
        <v>1+2874,36924810012i</v>
      </c>
      <c r="BA510">
        <f t="shared" si="462"/>
        <v>2874.36942205132</v>
      </c>
      <c r="BB510">
        <f t="shared" si="463"/>
        <v>1.57044842439498</v>
      </c>
      <c r="BC510" s="30" t="str">
        <f t="shared" si="464"/>
        <v>-0,0000334506405184176+0,00205411467911706i</v>
      </c>
      <c r="BD510" s="32">
        <f t="shared" si="465"/>
        <v>-53.7463547178108</v>
      </c>
      <c r="BE510" s="31">
        <f t="shared" si="466"/>
        <v>90.9329620930609</v>
      </c>
      <c r="BF510" s="30" t="str">
        <f t="shared" si="467"/>
        <v>-0,00103699918015698-0,00386870174719076i</v>
      </c>
      <c r="BG510" s="68">
        <f t="shared" si="468"/>
        <v>-47.9473551835954</v>
      </c>
      <c r="BH510" s="31">
        <f t="shared" si="469"/>
        <v>-105.0053014347</v>
      </c>
      <c r="BI510" s="30" t="str">
        <f t="shared" si="476"/>
        <v>0,0676229166499134+0,00512153623078938i</v>
      </c>
      <c r="BJ510" s="68">
        <f t="shared" si="470"/>
        <v>-23.3732818700778</v>
      </c>
      <c r="BK510" s="31">
        <f t="shared" si="477"/>
        <v>4.3311244438387</v>
      </c>
      <c r="BL510" s="32">
        <f t="shared" si="471"/>
        <v>-47.9473551835954</v>
      </c>
      <c r="BM510" s="31">
        <f t="shared" si="472"/>
        <v>-105.0053014347</v>
      </c>
      <c r="BO510">
        <f t="shared" si="473"/>
        <v>0</v>
      </c>
      <c r="BP510">
        <f t="shared" si="474"/>
        <v>0</v>
      </c>
    </row>
    <row r="511" spans="14:68">
      <c r="N511" s="7">
        <v>93</v>
      </c>
      <c r="O511" s="18">
        <f t="shared" si="475"/>
        <v>851138.038202377</v>
      </c>
      <c r="P511" s="86" t="str">
        <f t="shared" si="425"/>
        <v>163,636363636364</v>
      </c>
      <c r="Q511" s="4" t="str">
        <f t="shared" si="426"/>
        <v>1+32670,5507887452i</v>
      </c>
      <c r="R511" s="4">
        <f t="shared" si="437"/>
        <v>32670.5508040495</v>
      </c>
      <c r="S511" s="4">
        <f t="shared" si="438"/>
        <v>1.57076571818942</v>
      </c>
      <c r="T511" s="4" t="str">
        <f t="shared" si="427"/>
        <v>1+83,8544136911126i</v>
      </c>
      <c r="U511" s="4">
        <f t="shared" si="439"/>
        <v>83.8603761944832</v>
      </c>
      <c r="V511" s="4">
        <f t="shared" si="440"/>
        <v>1.55887146136767</v>
      </c>
      <c r="W511" t="str">
        <f t="shared" si="428"/>
        <v>1-80,2178702402225i</v>
      </c>
      <c r="X511" s="4">
        <f t="shared" si="441"/>
        <v>80.224103023201</v>
      </c>
      <c r="Y511" s="4">
        <f t="shared" si="442"/>
        <v>-1.55833092225309</v>
      </c>
      <c r="Z511" t="str">
        <f t="shared" si="429"/>
        <v>-4,91376293938771+16,6165588354747i</v>
      </c>
      <c r="AA511" s="4">
        <f t="shared" si="443"/>
        <v>17.3278704334172</v>
      </c>
      <c r="AB511" s="4">
        <f t="shared" si="444"/>
        <v>1.85831715462131</v>
      </c>
      <c r="AC511" s="67" t="str">
        <f t="shared" si="445"/>
        <v>-1,86512962164648+0,550388273140577i</v>
      </c>
      <c r="AD511" s="68">
        <f t="shared" si="446"/>
        <v>5.77679695727969</v>
      </c>
      <c r="AE511" s="31">
        <f t="shared" si="447"/>
        <v>163.558994397277</v>
      </c>
      <c r="AF511" s="32" t="str">
        <f t="shared" si="448"/>
        <v>748,315388573934</v>
      </c>
      <c r="AG511" s="32" t="str">
        <f t="shared" si="430"/>
        <v>1+26620,4487908294i</v>
      </c>
      <c r="AH511" s="32">
        <f t="shared" si="449"/>
        <v>26620.4488096119</v>
      </c>
      <c r="AI511" s="32">
        <f t="shared" si="450"/>
        <v>1.57075876168819</v>
      </c>
      <c r="AJ511" s="32" t="str">
        <f t="shared" si="431"/>
        <v>1+83,8544136911126i</v>
      </c>
      <c r="AK511" s="32">
        <f t="shared" si="451"/>
        <v>83.8603761944832</v>
      </c>
      <c r="AL511" s="32">
        <f t="shared" si="452"/>
        <v>1.55887146136767</v>
      </c>
      <c r="AM511" s="32" t="str">
        <f t="shared" si="432"/>
        <v>1-14,2927517493144i</v>
      </c>
      <c r="AN511" s="32">
        <f t="shared" si="453"/>
        <v>14.3276918087852</v>
      </c>
      <c r="AO511" s="32">
        <f t="shared" si="454"/>
        <v>-1.50094462377242</v>
      </c>
      <c r="AP511" s="30" t="str">
        <f t="shared" si="455"/>
        <v>1,95668304893353-33,7188181935299i</v>
      </c>
      <c r="AQ511" s="32">
        <f t="shared" si="456"/>
        <v>30.572046810775</v>
      </c>
      <c r="AR511" s="31">
        <f t="shared" si="457"/>
        <v>-86.6788843631806</v>
      </c>
      <c r="AS511" t="str">
        <f t="shared" si="433"/>
        <v>-0,0000504684572142411</v>
      </c>
      <c r="AT511" t="str">
        <f t="shared" si="434"/>
        <v>1,20166369619853i</v>
      </c>
      <c r="AU511">
        <f t="shared" si="458"/>
        <v>1.20166369619853</v>
      </c>
      <c r="AV511">
        <f t="shared" si="459"/>
        <v>1.5707963267949</v>
      </c>
      <c r="AW511" t="str">
        <f t="shared" si="435"/>
        <v>1+61,5229771757826i</v>
      </c>
      <c r="AX511">
        <f t="shared" si="460"/>
        <v>61.5311036840058</v>
      </c>
      <c r="AY511">
        <f t="shared" si="461"/>
        <v>1.55454366811821</v>
      </c>
      <c r="AZ511" t="str">
        <f t="shared" si="436"/>
        <v>1+2941,32190880815i</v>
      </c>
      <c r="BA511">
        <f t="shared" si="462"/>
        <v>2941.32207879974</v>
      </c>
      <c r="BB511">
        <f t="shared" si="463"/>
        <v>1.57045634361982</v>
      </c>
      <c r="BC511" s="30" t="str">
        <f t="shared" si="464"/>
        <v>-0,0000319455113410184+0,00200738178504981i</v>
      </c>
      <c r="BD511" s="32">
        <f t="shared" si="465"/>
        <v>-53.9463006814421</v>
      </c>
      <c r="BE511" s="31">
        <f t="shared" si="466"/>
        <v>90.9117291470035</v>
      </c>
      <c r="BF511" s="30" t="str">
        <f t="shared" si="467"/>
        <v>-0,00104525687472664-0,00376160966407156i</v>
      </c>
      <c r="BG511" s="68">
        <f t="shared" si="468"/>
        <v>-48.1695037241624</v>
      </c>
      <c r="BH511" s="31">
        <f t="shared" si="469"/>
        <v>-105.52927645572</v>
      </c>
      <c r="BI511" s="30" t="str">
        <f t="shared" si="476"/>
        <v>0,0676240342145676+0,00500497480055204i</v>
      </c>
      <c r="BJ511" s="68">
        <f t="shared" si="470"/>
        <v>-23.374253870667</v>
      </c>
      <c r="BK511" s="31">
        <f t="shared" si="477"/>
        <v>4.23284478382286</v>
      </c>
      <c r="BL511" s="32">
        <f t="shared" si="471"/>
        <v>-48.1695037241624</v>
      </c>
      <c r="BM511" s="31">
        <f t="shared" si="472"/>
        <v>-105.52927645572</v>
      </c>
      <c r="BO511">
        <f t="shared" si="473"/>
        <v>0</v>
      </c>
      <c r="BP511">
        <f t="shared" si="474"/>
        <v>0</v>
      </c>
    </row>
    <row r="512" spans="14:68">
      <c r="N512" s="7">
        <v>94</v>
      </c>
      <c r="O512" s="18">
        <f t="shared" si="475"/>
        <v>870963.589956081</v>
      </c>
      <c r="P512" s="86" t="str">
        <f t="shared" si="425"/>
        <v>163,636363636364</v>
      </c>
      <c r="Q512" s="4" t="str">
        <f t="shared" si="426"/>
        <v>1+33431,5456760754i</v>
      </c>
      <c r="R512" s="4">
        <f t="shared" si="437"/>
        <v>33431.5456910313</v>
      </c>
      <c r="S512" s="4">
        <f t="shared" si="438"/>
        <v>1.57076641492635</v>
      </c>
      <c r="T512" s="4" t="str">
        <f t="shared" si="427"/>
        <v>1+85,8076339019268i</v>
      </c>
      <c r="U512" s="4">
        <f t="shared" si="439"/>
        <v>85.8134606914737</v>
      </c>
      <c r="V512" s="4">
        <f t="shared" si="440"/>
        <v>1.55914287958387</v>
      </c>
      <c r="W512" t="str">
        <f t="shared" si="428"/>
        <v>1-82,0863844725065i</v>
      </c>
      <c r="X512" s="4">
        <f t="shared" si="441"/>
        <v>82.0924753906724</v>
      </c>
      <c r="Y512" s="4">
        <f t="shared" si="442"/>
        <v>-1.55861464110551</v>
      </c>
      <c r="Z512" t="str">
        <f t="shared" si="429"/>
        <v>-5,19247000023827+17,0036082121621i</v>
      </c>
      <c r="AA512" s="4">
        <f t="shared" si="443"/>
        <v>17.7787636503802</v>
      </c>
      <c r="AB512" s="4">
        <f t="shared" si="444"/>
        <v>1.86717662101981</v>
      </c>
      <c r="AC512" s="67" t="str">
        <f t="shared" si="445"/>
        <v>-1,85521419034515+0,56540342645635i</v>
      </c>
      <c r="AD512" s="68">
        <f t="shared" si="446"/>
        <v>5.75361150059136</v>
      </c>
      <c r="AE512" s="31">
        <f t="shared" si="447"/>
        <v>163.050639669278</v>
      </c>
      <c r="AF512" s="32" t="str">
        <f t="shared" si="448"/>
        <v>748,315388573934</v>
      </c>
      <c r="AG512" s="32" t="str">
        <f t="shared" si="430"/>
        <v>1+27240,5186990244i</v>
      </c>
      <c r="AH512" s="32">
        <f t="shared" si="449"/>
        <v>27240.5187173794</v>
      </c>
      <c r="AI512" s="32">
        <f t="shared" si="450"/>
        <v>1.57075961677441</v>
      </c>
      <c r="AJ512" s="32" t="str">
        <f t="shared" si="431"/>
        <v>1+85,8076339019268i</v>
      </c>
      <c r="AK512" s="32">
        <f t="shared" si="451"/>
        <v>85.8134606914737</v>
      </c>
      <c r="AL512" s="32">
        <f t="shared" si="452"/>
        <v>1.55914287958387</v>
      </c>
      <c r="AM512" s="32" t="str">
        <f t="shared" si="432"/>
        <v>1-14,6256727054819i</v>
      </c>
      <c r="AN512" s="32">
        <f t="shared" si="453"/>
        <v>14.6598193061128</v>
      </c>
      <c r="AO512" s="32">
        <f t="shared" si="454"/>
        <v>-1.50252965004999</v>
      </c>
      <c r="AP512" s="30" t="str">
        <f t="shared" si="455"/>
        <v>1,95668300153106-34,5029390977227i</v>
      </c>
      <c r="AQ512" s="32">
        <f t="shared" si="456"/>
        <v>30.7710667392272</v>
      </c>
      <c r="AR512" s="31">
        <f t="shared" si="457"/>
        <v>-86.7541975538636</v>
      </c>
      <c r="AS512" t="str">
        <f t="shared" si="433"/>
        <v>-0,0000504684572142411</v>
      </c>
      <c r="AT512" t="str">
        <f t="shared" si="434"/>
        <v>1,22965403939815i</v>
      </c>
      <c r="AU512">
        <f t="shared" si="458"/>
        <v>1.22965403939815</v>
      </c>
      <c r="AV512">
        <f t="shared" si="459"/>
        <v>1.5707963267949</v>
      </c>
      <c r="AW512" t="str">
        <f t="shared" si="435"/>
        <v>1+62,956031408227i</v>
      </c>
      <c r="AX512">
        <f t="shared" si="460"/>
        <v>62.9639729581422</v>
      </c>
      <c r="AY512">
        <f t="shared" si="461"/>
        <v>1.55491356085808</v>
      </c>
      <c r="AZ512" t="str">
        <f t="shared" si="436"/>
        <v>1+3009,83409732523i</v>
      </c>
      <c r="BA512">
        <f t="shared" si="462"/>
        <v>3009.83426344734</v>
      </c>
      <c r="BB512">
        <f t="shared" si="463"/>
        <v>1.57046408258114</v>
      </c>
      <c r="BC512" s="30" t="str">
        <f t="shared" si="464"/>
        <v>-0,0000305080891556865+0,00196171102917943i</v>
      </c>
      <c r="BD512" s="32">
        <f t="shared" si="465"/>
        <v>-54.1462490764824</v>
      </c>
      <c r="BE512" s="31">
        <f t="shared" si="466"/>
        <v>90.890979263958</v>
      </c>
      <c r="BF512" s="30" t="str">
        <f t="shared" si="467"/>
        <v>-0,00105255909769332-0,00365664351683353i</v>
      </c>
      <c r="BG512" s="68">
        <f t="shared" si="468"/>
        <v>-48.3926375758911</v>
      </c>
      <c r="BH512" s="31">
        <f t="shared" si="469"/>
        <v>-106.058381066764</v>
      </c>
      <c r="BI512" s="30" t="str">
        <f t="shared" si="476"/>
        <v>0,0676251015076487+0,00489106536683794i</v>
      </c>
      <c r="BJ512" s="68">
        <f t="shared" si="470"/>
        <v>-23.3751823372553</v>
      </c>
      <c r="BK512" s="31">
        <f t="shared" si="477"/>
        <v>4.13678171009432</v>
      </c>
      <c r="BL512" s="32">
        <f t="shared" si="471"/>
        <v>-48.3926375758911</v>
      </c>
      <c r="BM512" s="31">
        <f t="shared" si="472"/>
        <v>-106.058381066764</v>
      </c>
      <c r="BO512">
        <f t="shared" si="473"/>
        <v>0</v>
      </c>
      <c r="BP512">
        <f t="shared" si="474"/>
        <v>0</v>
      </c>
    </row>
    <row r="513" spans="14:68">
      <c r="N513" s="7">
        <v>95</v>
      </c>
      <c r="O513" s="18">
        <f t="shared" si="475"/>
        <v>891250.938133747</v>
      </c>
      <c r="P513" s="86" t="str">
        <f t="shared" si="425"/>
        <v>163,636363636364</v>
      </c>
      <c r="Q513" s="4" t="str">
        <f t="shared" si="426"/>
        <v>1+34210,266411442i</v>
      </c>
      <c r="R513" s="4">
        <f t="shared" si="437"/>
        <v>34210.2664260575</v>
      </c>
      <c r="S513" s="4">
        <f t="shared" si="438"/>
        <v>1.5707670958036</v>
      </c>
      <c r="T513" s="4" t="str">
        <f t="shared" si="427"/>
        <v>1+87,8063504560343i</v>
      </c>
      <c r="U513" s="4">
        <f t="shared" si="439"/>
        <v>87.812044620359</v>
      </c>
      <c r="V513" s="4">
        <f t="shared" si="440"/>
        <v>1.55940812122635</v>
      </c>
      <c r="W513" t="str">
        <f t="shared" si="428"/>
        <v>1-83,9984219923798i</v>
      </c>
      <c r="X513" s="4">
        <f t="shared" si="441"/>
        <v>84.0043742742598</v>
      </c>
      <c r="Y513" s="4">
        <f t="shared" si="442"/>
        <v>-1.55889190362354</v>
      </c>
      <c r="Z513" t="str">
        <f t="shared" si="429"/>
        <v>-5,48431212019826+17,3996731269929i</v>
      </c>
      <c r="AA513" s="4">
        <f t="shared" si="443"/>
        <v>18.2435277388435</v>
      </c>
      <c r="AB513" s="4">
        <f t="shared" si="444"/>
        <v>1.87613569712288</v>
      </c>
      <c r="AC513" s="67" t="str">
        <f t="shared" si="445"/>
        <v>-1,84491939056789+0,580405621718054i</v>
      </c>
      <c r="AD513" s="68">
        <f t="shared" si="446"/>
        <v>5.72941065579265</v>
      </c>
      <c r="AE513" s="31">
        <f t="shared" si="447"/>
        <v>162.536594663408</v>
      </c>
      <c r="AF513" s="32" t="str">
        <f t="shared" si="448"/>
        <v>748,315388573934</v>
      </c>
      <c r="AG513" s="32" t="str">
        <f t="shared" si="430"/>
        <v>1+27875,0318908045i</v>
      </c>
      <c r="AH513" s="32">
        <f t="shared" si="449"/>
        <v>27875.0319087417</v>
      </c>
      <c r="AI513" s="32">
        <f t="shared" si="450"/>
        <v>1.57076045239649</v>
      </c>
      <c r="AJ513" s="32" t="str">
        <f t="shared" si="431"/>
        <v>1+87,8063504560343i</v>
      </c>
      <c r="AK513" s="32">
        <f t="shared" si="451"/>
        <v>87.812044620359</v>
      </c>
      <c r="AL513" s="32">
        <f t="shared" si="452"/>
        <v>1.55940812122635</v>
      </c>
      <c r="AM513" s="32" t="str">
        <f t="shared" si="432"/>
        <v>1-14,9663483869115i</v>
      </c>
      <c r="AN513" s="32">
        <f t="shared" si="453"/>
        <v>14.9997194653236</v>
      </c>
      <c r="AO513" s="32">
        <f t="shared" si="454"/>
        <v>-1.50407892876048</v>
      </c>
      <c r="AP513" s="30" t="str">
        <f t="shared" si="455"/>
        <v>1,95668295626207-35,3053539169254i</v>
      </c>
      <c r="AQ513" s="32">
        <f t="shared" si="456"/>
        <v>30.970130583037</v>
      </c>
      <c r="AR513" s="31">
        <f t="shared" si="457"/>
        <v>-86.8278153362178</v>
      </c>
      <c r="AS513" t="str">
        <f t="shared" si="433"/>
        <v>-0,0000504684572142411</v>
      </c>
      <c r="AT513" t="str">
        <f t="shared" si="434"/>
        <v>1,25829636144585i</v>
      </c>
      <c r="AU513">
        <f t="shared" si="458"/>
        <v>1.25829636144585</v>
      </c>
      <c r="AV513">
        <f t="shared" si="459"/>
        <v>1.5707963267949</v>
      </c>
      <c r="AW513" t="str">
        <f t="shared" si="435"/>
        <v>1+64,4224657618459i</v>
      </c>
      <c r="AX513">
        <f t="shared" si="460"/>
        <v>64.4302265620431</v>
      </c>
      <c r="AY513">
        <f t="shared" si="461"/>
        <v>1.55527503801129</v>
      </c>
      <c r="AZ513" t="str">
        <f t="shared" si="436"/>
        <v>1+3079,94213972059i</v>
      </c>
      <c r="BA513">
        <f t="shared" si="462"/>
        <v>3079.9423020613</v>
      </c>
      <c r="BB513">
        <f t="shared" si="463"/>
        <v>1.57047164538223</v>
      </c>
      <c r="BC513" s="30" t="str">
        <f t="shared" si="464"/>
        <v>-0,0000291353297225152+0,00191707834318046i</v>
      </c>
      <c r="BD513" s="32">
        <f t="shared" si="465"/>
        <v>-54.3461997935556</v>
      </c>
      <c r="BE513" s="31">
        <f t="shared" si="466"/>
        <v>90.8707014652723</v>
      </c>
      <c r="BF513" s="30" t="str">
        <f t="shared" si="467"/>
        <v>-0,00105893071290021-0,00355376531773295i</v>
      </c>
      <c r="BG513" s="68">
        <f t="shared" si="468"/>
        <v>-48.6167891377629</v>
      </c>
      <c r="BH513" s="31">
        <f t="shared" si="469"/>
        <v>-106.59270387132</v>
      </c>
      <c r="BI513" s="30" t="str">
        <f t="shared" si="476"/>
        <v>0,067626120789366+0,00477974764726005i</v>
      </c>
      <c r="BJ513" s="68">
        <f t="shared" si="470"/>
        <v>-23.3760692105185</v>
      </c>
      <c r="BK513" s="31">
        <f t="shared" si="477"/>
        <v>4.04288612905445</v>
      </c>
      <c r="BL513" s="32">
        <f t="shared" si="471"/>
        <v>-48.6167891377629</v>
      </c>
      <c r="BM513" s="31">
        <f t="shared" si="472"/>
        <v>-106.59270387132</v>
      </c>
      <c r="BO513">
        <f t="shared" si="473"/>
        <v>0</v>
      </c>
      <c r="BP513">
        <f t="shared" si="474"/>
        <v>0</v>
      </c>
    </row>
    <row r="514" spans="14:68">
      <c r="N514" s="7">
        <v>96</v>
      </c>
      <c r="O514" s="18">
        <f t="shared" si="475"/>
        <v>912010.839355911</v>
      </c>
      <c r="P514" s="86" t="str">
        <f t="shared" si="425"/>
        <v>163,636363636364</v>
      </c>
      <c r="Q514" s="4" t="str">
        <f t="shared" si="426"/>
        <v>1+35007,1258828862i</v>
      </c>
      <c r="R514" s="4">
        <f t="shared" si="437"/>
        <v>35007.125897169</v>
      </c>
      <c r="S514" s="4">
        <f t="shared" si="438"/>
        <v>1.5707677611822</v>
      </c>
      <c r="T514" s="4" t="str">
        <f t="shared" si="427"/>
        <v>1+89,8516230994079i</v>
      </c>
      <c r="U514" s="4">
        <f t="shared" si="439"/>
        <v>89.8571876568483</v>
      </c>
      <c r="V514" s="4">
        <f t="shared" si="440"/>
        <v>1.55966732678037</v>
      </c>
      <c r="W514" t="str">
        <f t="shared" si="428"/>
        <v>1-85,9549965874438i</v>
      </c>
      <c r="X514" s="4">
        <f t="shared" si="441"/>
        <v>85.9608133881217</v>
      </c>
      <c r="Y514" s="4">
        <f t="shared" si="442"/>
        <v>-1.55916285664482</v>
      </c>
      <c r="Z514" t="str">
        <f t="shared" si="429"/>
        <v>-5,78990833553206+17,8049635788276i</v>
      </c>
      <c r="AA514" s="4">
        <f t="shared" si="443"/>
        <v>18.7227072448736</v>
      </c>
      <c r="AB514" s="4">
        <f t="shared" si="444"/>
        <v>1.88519560665387</v>
      </c>
      <c r="AC514" s="67" t="str">
        <f t="shared" si="445"/>
        <v>-1,83423809323357+0,595385927592928i</v>
      </c>
      <c r="AD514" s="68">
        <f t="shared" si="446"/>
        <v>5.70416110346178</v>
      </c>
      <c r="AE514" s="31">
        <f t="shared" si="447"/>
        <v>162.016788880833</v>
      </c>
      <c r="AF514" s="32" t="str">
        <f t="shared" si="448"/>
        <v>748,315388573934</v>
      </c>
      <c r="AG514" s="32" t="str">
        <f t="shared" si="430"/>
        <v>1+28524,3247934628i</v>
      </c>
      <c r="AH514" s="32">
        <f t="shared" si="449"/>
        <v>28524.3248109917</v>
      </c>
      <c r="AI514" s="32">
        <f t="shared" si="450"/>
        <v>1.5707612689975</v>
      </c>
      <c r="AJ514" s="32" t="str">
        <f t="shared" si="431"/>
        <v>1+89,8516230994079i</v>
      </c>
      <c r="AK514" s="32">
        <f t="shared" si="451"/>
        <v>89.8571876568483</v>
      </c>
      <c r="AL514" s="32">
        <f t="shared" si="452"/>
        <v>1.55966732678037</v>
      </c>
      <c r="AM514" s="32" t="str">
        <f t="shared" si="432"/>
        <v>1-15,3149594243589i</v>
      </c>
      <c r="AN514" s="32">
        <f t="shared" si="453"/>
        <v>15.3475725171689</v>
      </c>
      <c r="AO514" s="32">
        <f t="shared" si="454"/>
        <v>-1.50559325158581</v>
      </c>
      <c r="AP514" s="30" t="str">
        <f t="shared" si="455"/>
        <v>1,9566829130305-36,1264881020964i</v>
      </c>
      <c r="AQ514" s="32">
        <f t="shared" si="456"/>
        <v>31.1692363827826</v>
      </c>
      <c r="AR514" s="31">
        <f t="shared" si="457"/>
        <v>-86.8997750464486</v>
      </c>
      <c r="AS514" t="str">
        <f t="shared" si="433"/>
        <v>-0,0000504684572142411</v>
      </c>
      <c r="AT514" t="str">
        <f t="shared" si="434"/>
        <v>1,28760584887991i</v>
      </c>
      <c r="AU514">
        <f t="shared" si="458"/>
        <v>1.28760584887991</v>
      </c>
      <c r="AV514">
        <f t="shared" si="459"/>
        <v>1.5707963267949</v>
      </c>
      <c r="AW514" t="str">
        <f t="shared" si="435"/>
        <v>1+65,9230577595437i</v>
      </c>
      <c r="AX514">
        <f t="shared" si="460"/>
        <v>65.9306419229188</v>
      </c>
      <c r="AY514">
        <f t="shared" si="461"/>
        <v>1.55562829085974</v>
      </c>
      <c r="AZ514" t="str">
        <f t="shared" si="436"/>
        <v>1+3151,68320820627i</v>
      </c>
      <c r="BA514">
        <f t="shared" si="462"/>
        <v>3151.68336685165</v>
      </c>
      <c r="BB514">
        <f t="shared" si="463"/>
        <v>1.57047903603298</v>
      </c>
      <c r="BC514" s="30" t="str">
        <f t="shared" si="464"/>
        <v>-0,0000278243255443927+0,00187346019932787i</v>
      </c>
      <c r="BD514" s="32">
        <f t="shared" si="465"/>
        <v>-54.5461527282033</v>
      </c>
      <c r="BE514" s="31">
        <f t="shared" si="466"/>
        <v>90.8508850210513</v>
      </c>
      <c r="BF514" s="30" t="str">
        <f t="shared" si="467"/>
        <v>-0,0010643954007532-0,00345293827563803i</v>
      </c>
      <c r="BG514" s="68">
        <f t="shared" si="468"/>
        <v>-48.8419916247416</v>
      </c>
      <c r="BH514" s="31">
        <f t="shared" si="469"/>
        <v>-107.132326098116</v>
      </c>
      <c r="BI514" s="30" t="str">
        <f t="shared" si="476"/>
        <v>0,0676270942184101+0,00467096272599592i</v>
      </c>
      <c r="BJ514" s="68">
        <f t="shared" si="470"/>
        <v>-23.3769163454208</v>
      </c>
      <c r="BK514" s="31">
        <f t="shared" si="477"/>
        <v>3.95110997460262</v>
      </c>
      <c r="BL514" s="32">
        <f t="shared" si="471"/>
        <v>-48.8419916247416</v>
      </c>
      <c r="BM514" s="31">
        <f t="shared" si="472"/>
        <v>-107.132326098116</v>
      </c>
      <c r="BO514">
        <f t="shared" si="473"/>
        <v>0</v>
      </c>
      <c r="BP514">
        <f t="shared" si="474"/>
        <v>0</v>
      </c>
    </row>
    <row r="515" spans="14:68">
      <c r="N515" s="7">
        <v>97</v>
      </c>
      <c r="O515" s="18">
        <f t="shared" si="475"/>
        <v>933254.300796992</v>
      </c>
      <c r="P515" s="86" t="str">
        <f t="shared" si="425"/>
        <v>163,636363636364</v>
      </c>
      <c r="Q515" s="4" t="str">
        <f t="shared" si="426"/>
        <v>1+35822,5465958477i</v>
      </c>
      <c r="R515" s="4">
        <f t="shared" si="437"/>
        <v>35822.5466098054</v>
      </c>
      <c r="S515" s="4">
        <f t="shared" si="438"/>
        <v>1.57076841141493</v>
      </c>
      <c r="T515" s="4" t="str">
        <f t="shared" si="427"/>
        <v>1+91,9445362626756i</v>
      </c>
      <c r="U515" s="4">
        <f t="shared" si="439"/>
        <v>91.9499741629027</v>
      </c>
      <c r="V515" s="4">
        <f t="shared" si="440"/>
        <v>1.55992063354075</v>
      </c>
      <c r="W515" t="str">
        <f t="shared" si="428"/>
        <v>1-87,9571456594474i</v>
      </c>
      <c r="X515" s="4">
        <f t="shared" si="441"/>
        <v>87.9628300622328</v>
      </c>
      <c r="Y515" s="4">
        <f t="shared" si="442"/>
        <v>-1.55942764367298</v>
      </c>
      <c r="Z515" t="str">
        <f t="shared" si="429"/>
        <v>-6,10990685678439+18,2196944580284i</v>
      </c>
      <c r="AA515" s="4">
        <f t="shared" si="443"/>
        <v>19.2168735215303</v>
      </c>
      <c r="AB515" s="4">
        <f t="shared" si="444"/>
        <v>1.8943574426585</v>
      </c>
      <c r="AC515" s="67" t="str">
        <f t="shared" si="445"/>
        <v>-1,82316339820954+0,610334762207983i</v>
      </c>
      <c r="AD515" s="68">
        <f t="shared" si="446"/>
        <v>5.67782873838953</v>
      </c>
      <c r="AE515" s="31">
        <f t="shared" si="447"/>
        <v>161.491159318694</v>
      </c>
      <c r="AF515" s="32" t="str">
        <f t="shared" si="448"/>
        <v>748,315388573934</v>
      </c>
      <c r="AG515" s="32" t="str">
        <f t="shared" si="430"/>
        <v>1+29188,7416706907i</v>
      </c>
      <c r="AH515" s="32">
        <f t="shared" si="449"/>
        <v>29188.7416878206</v>
      </c>
      <c r="AI515" s="32">
        <f t="shared" si="450"/>
        <v>1.57076206701039</v>
      </c>
      <c r="AJ515" s="32" t="str">
        <f t="shared" si="431"/>
        <v>1+91,9445362626756i</v>
      </c>
      <c r="AK515" s="32">
        <f t="shared" si="451"/>
        <v>91.9499741629027</v>
      </c>
      <c r="AL515" s="32">
        <f t="shared" si="452"/>
        <v>1.55992063354075</v>
      </c>
      <c r="AM515" s="32" t="str">
        <f t="shared" si="432"/>
        <v>1-15,6716906560106i</v>
      </c>
      <c r="AN515" s="32">
        <f t="shared" si="453"/>
        <v>15.7035629083877</v>
      </c>
      <c r="AO515" s="32">
        <f t="shared" si="454"/>
        <v>-1.5070733936435</v>
      </c>
      <c r="AP515" s="30" t="str">
        <f t="shared" si="455"/>
        <v>1,95668287174468-36,9667770294493i</v>
      </c>
      <c r="AQ515" s="32">
        <f t="shared" si="456"/>
        <v>31.3683822657355</v>
      </c>
      <c r="AR515" s="31">
        <f t="shared" si="457"/>
        <v>-86.9701132539129</v>
      </c>
      <c r="AS515" t="str">
        <f t="shared" si="433"/>
        <v>-0,0000504684572142411</v>
      </c>
      <c r="AT515" t="str">
        <f t="shared" si="434"/>
        <v>1,31759804197852i</v>
      </c>
      <c r="AU515">
        <f t="shared" si="458"/>
        <v>1.31759804197852</v>
      </c>
      <c r="AV515">
        <f t="shared" si="459"/>
        <v>1.5707963267949</v>
      </c>
      <c r="AW515" t="str">
        <f t="shared" si="435"/>
        <v>1+67,4586030350605i</v>
      </c>
      <c r="AX515">
        <f t="shared" si="460"/>
        <v>67.4660145809864</v>
      </c>
      <c r="AY515">
        <f t="shared" si="461"/>
        <v>1.55597350634991</v>
      </c>
      <c r="AZ515" t="str">
        <f t="shared" si="436"/>
        <v>1+3225,0953408464i</v>
      </c>
      <c r="BA515">
        <f t="shared" si="462"/>
        <v>3225.09549588057</v>
      </c>
      <c r="BB515">
        <f t="shared" si="463"/>
        <v>1.57048625845202</v>
      </c>
      <c r="BC515" s="30" t="str">
        <f t="shared" si="464"/>
        <v>-0,0000265722997363512+0,00183083359867555i</v>
      </c>
      <c r="BD515" s="32">
        <f t="shared" si="465"/>
        <v>-54.7461077806643</v>
      </c>
      <c r="BE515" s="31">
        <f t="shared" si="466"/>
        <v>90.8315194445708</v>
      </c>
      <c r="BF515" s="30" t="str">
        <f t="shared" si="467"/>
        <v>-0,00106897574480446-0,00335412680355842i</v>
      </c>
      <c r="BG515" s="68">
        <f t="shared" si="468"/>
        <v>-49.0682790422748</v>
      </c>
      <c r="BH515" s="31">
        <f t="shared" si="469"/>
        <v>-107.677321236736</v>
      </c>
      <c r="BI515" s="30" t="str">
        <f t="shared" si="476"/>
        <v>0,0676280238565063+0,00456465302305651i</v>
      </c>
      <c r="BJ515" s="68">
        <f t="shared" si="470"/>
        <v>-23.3777255149288</v>
      </c>
      <c r="BK515" s="31">
        <f t="shared" si="477"/>
        <v>3.86140619065784</v>
      </c>
      <c r="BL515" s="32">
        <f t="shared" si="471"/>
        <v>-49.0682790422748</v>
      </c>
      <c r="BM515" s="31">
        <f t="shared" si="472"/>
        <v>-107.677321236736</v>
      </c>
      <c r="BO515">
        <f t="shared" si="473"/>
        <v>0</v>
      </c>
      <c r="BP515">
        <f t="shared" si="474"/>
        <v>0</v>
      </c>
    </row>
    <row r="516" spans="14:68">
      <c r="N516" s="7">
        <v>98</v>
      </c>
      <c r="O516" s="18">
        <f t="shared" si="475"/>
        <v>954992.586021437</v>
      </c>
      <c r="P516" s="86" t="str">
        <f t="shared" si="425"/>
        <v>163,636363636364</v>
      </c>
      <c r="Q516" s="4" t="str">
        <f t="shared" si="426"/>
        <v>1+36656,9608971817i</v>
      </c>
      <c r="R516" s="4">
        <f t="shared" si="437"/>
        <v>36656.9609108217</v>
      </c>
      <c r="S516" s="4">
        <f t="shared" si="438"/>
        <v>1.57076904684655</v>
      </c>
      <c r="T516" s="4" t="str">
        <f t="shared" si="427"/>
        <v>1+94,0861996360996i</v>
      </c>
      <c r="U516" s="4">
        <f t="shared" si="439"/>
        <v>94.0915137616777</v>
      </c>
      <c r="V516" s="4">
        <f t="shared" si="440"/>
        <v>1.56016817568398</v>
      </c>
      <c r="W516" t="str">
        <f t="shared" si="428"/>
        <v>1-90,0059307743301i</v>
      </c>
      <c r="X516" s="4">
        <f t="shared" si="441"/>
        <v>90.0114857923893</v>
      </c>
      <c r="Y516" s="4">
        <f t="shared" si="442"/>
        <v>-1.55968640495303</v>
      </c>
      <c r="Z516" t="str">
        <f t="shared" si="429"/>
        <v>-6,44498644372176+18,6440856603969i</v>
      </c>
      <c r="AA516" s="4">
        <f t="shared" si="443"/>
        <v>19.7266261781374</v>
      </c>
      <c r="AB516" s="4">
        <f t="shared" si="444"/>
        <v>1.90362216096769</v>
      </c>
      <c r="AC516" s="67" t="str">
        <f t="shared" si="445"/>
        <v>-1,81168867795033+0,62524188766833i</v>
      </c>
      <c r="AD516" s="68">
        <f t="shared" si="446"/>
        <v>5.65037869863693</v>
      </c>
      <c r="AE516" s="31">
        <f t="shared" si="447"/>
        <v>160.959650844459</v>
      </c>
      <c r="AF516" s="32" t="str">
        <f t="shared" si="448"/>
        <v>748,315388573934</v>
      </c>
      <c r="AG516" s="32" t="str">
        <f t="shared" si="430"/>
        <v>1+29868,634805111i</v>
      </c>
      <c r="AH516" s="32">
        <f t="shared" si="449"/>
        <v>29868.634821851</v>
      </c>
      <c r="AI516" s="32">
        <f t="shared" si="450"/>
        <v>1.5707628468583</v>
      </c>
      <c r="AJ516" s="32" t="str">
        <f t="shared" si="431"/>
        <v>1+94,0861996360996i</v>
      </c>
      <c r="AK516" s="32">
        <f t="shared" si="451"/>
        <v>94.0915137616777</v>
      </c>
      <c r="AL516" s="32">
        <f t="shared" si="452"/>
        <v>1.56016817568398</v>
      </c>
      <c r="AM516" s="32" t="str">
        <f t="shared" si="432"/>
        <v>1-16,0367312254874i</v>
      </c>
      <c r="AN516" s="32">
        <f t="shared" si="453"/>
        <v>16.0678793995512</v>
      </c>
      <c r="AO516" s="32">
        <f t="shared" si="454"/>
        <v>-1.50852011376803</v>
      </c>
      <c r="AP516" s="30" t="str">
        <f t="shared" si="455"/>
        <v>1,95668283231703-37,8266662312964i</v>
      </c>
      <c r="AQ516" s="32">
        <f t="shared" si="456"/>
        <v>31.5675664420904</v>
      </c>
      <c r="AR516" s="31">
        <f t="shared" si="457"/>
        <v>-87.03886577312</v>
      </c>
      <c r="AS516" t="str">
        <f t="shared" si="433"/>
        <v>-0,0000504684572142411</v>
      </c>
      <c r="AT516" t="str">
        <f t="shared" si="434"/>
        <v>1,34828884299946i</v>
      </c>
      <c r="AU516">
        <f t="shared" si="458"/>
        <v>1.34828884299946</v>
      </c>
      <c r="AV516">
        <f t="shared" si="459"/>
        <v>1.5707963267949</v>
      </c>
      <c r="AW516" t="str">
        <f t="shared" si="435"/>
        <v>1+69,0299157548266i</v>
      </c>
      <c r="AX516">
        <f t="shared" si="460"/>
        <v>69.0371586112758</v>
      </c>
      <c r="AY516">
        <f t="shared" si="461"/>
        <v>1.5563108671903</v>
      </c>
      <c r="AZ516" t="str">
        <f t="shared" si="436"/>
        <v>1+3300,21746172543i</v>
      </c>
      <c r="BA516">
        <f t="shared" si="462"/>
        <v>3300.21761323059</v>
      </c>
      <c r="BB516">
        <f t="shared" si="463"/>
        <v>1.57049331646876</v>
      </c>
      <c r="BC516" s="30" t="str">
        <f t="shared" si="464"/>
        <v>-0,0000253766001687497+0,00178917605947155i</v>
      </c>
      <c r="BD516" s="32">
        <f t="shared" si="465"/>
        <v>-54.9460648556631</v>
      </c>
      <c r="BE516" s="31">
        <f t="shared" si="466"/>
        <v>90.8125944868139</v>
      </c>
      <c r="BF516" s="30" t="str">
        <f t="shared" si="467"/>
        <v>-0,00107269331758438-0,00325729652319651i</v>
      </c>
      <c r="BG516" s="68">
        <f t="shared" si="468"/>
        <v>-49.2956861570262</v>
      </c>
      <c r="BH516" s="31">
        <f t="shared" si="469"/>
        <v>-108.227754668727</v>
      </c>
      <c r="BI516" s="30" t="str">
        <f t="shared" si="476"/>
        <v>0,0676289116727637+0,00446076226422897i</v>
      </c>
      <c r="BJ516" s="68">
        <f t="shared" si="470"/>
        <v>-23.3784984135727</v>
      </c>
      <c r="BK516" s="31">
        <f t="shared" si="477"/>
        <v>3.7737287136939</v>
      </c>
      <c r="BL516" s="32">
        <f t="shared" si="471"/>
        <v>-49.2956861570262</v>
      </c>
      <c r="BM516" s="31">
        <f t="shared" si="472"/>
        <v>-108.227754668727</v>
      </c>
      <c r="BO516">
        <f t="shared" si="473"/>
        <v>0</v>
      </c>
      <c r="BP516">
        <f t="shared" si="474"/>
        <v>0</v>
      </c>
    </row>
    <row r="517" spans="14:68">
      <c r="N517" s="7">
        <v>99</v>
      </c>
      <c r="O517" s="18">
        <f t="shared" si="475"/>
        <v>977237.220955812</v>
      </c>
      <c r="P517" s="86" t="str">
        <f t="shared" si="425"/>
        <v>163,636363636364</v>
      </c>
      <c r="Q517" s="4" t="str">
        <f t="shared" si="426"/>
        <v>1+37510,8112043957i</v>
      </c>
      <c r="R517" s="4">
        <f t="shared" si="437"/>
        <v>37510.8112177252</v>
      </c>
      <c r="S517" s="4">
        <f t="shared" si="438"/>
        <v>1.57076966781399</v>
      </c>
      <c r="T517" s="4" t="str">
        <f t="shared" si="427"/>
        <v>1+96,2777487579488i</v>
      </c>
      <c r="U517" s="4">
        <f t="shared" si="439"/>
        <v>96.2829419258609</v>
      </c>
      <c r="V517" s="4">
        <f t="shared" si="440"/>
        <v>1.56041008433876</v>
      </c>
      <c r="W517" t="str">
        <f t="shared" si="428"/>
        <v>1-92,1024382250786i</v>
      </c>
      <c r="X517" s="4">
        <f t="shared" si="441"/>
        <v>92.1078668030284</v>
      </c>
      <c r="Y517" s="4">
        <f t="shared" si="442"/>
        <v>-1.55993927754493</v>
      </c>
      <c r="Z517" t="str">
        <f t="shared" si="429"/>
        <v>-6,79585784507301+19,0783622037663i</v>
      </c>
      <c r="AA517" s="4">
        <f t="shared" si="443"/>
        <v>20.2525946048534</v>
      </c>
      <c r="AB517" s="4">
        <f t="shared" si="444"/>
        <v>1.91299057361088</v>
      </c>
      <c r="AC517" s="67" t="str">
        <f t="shared" si="445"/>
        <v>-1,79980762303788+0,64009640723962i</v>
      </c>
      <c r="AD517" s="68">
        <f t="shared" si="446"/>
        <v>5.62177539856744</v>
      </c>
      <c r="AE517" s="31">
        <f t="shared" si="447"/>
        <v>160.422216573131</v>
      </c>
      <c r="AF517" s="32" t="str">
        <f t="shared" si="448"/>
        <v>748,315388573934</v>
      </c>
      <c r="AG517" s="32" t="str">
        <f t="shared" si="430"/>
        <v>1+30564,3646850631i</v>
      </c>
      <c r="AH517" s="32">
        <f t="shared" si="449"/>
        <v>30564.364701422</v>
      </c>
      <c r="AI517" s="32">
        <f t="shared" si="450"/>
        <v>1.57076360895469</v>
      </c>
      <c r="AJ517" s="32" t="str">
        <f t="shared" si="431"/>
        <v>1+96,2777487579488i</v>
      </c>
      <c r="AK517" s="32">
        <f t="shared" si="451"/>
        <v>96.2829419258609</v>
      </c>
      <c r="AL517" s="32">
        <f t="shared" si="452"/>
        <v>1.56041008433876</v>
      </c>
      <c r="AM517" s="32" t="str">
        <f t="shared" si="432"/>
        <v>1-16,4102746821312i</v>
      </c>
      <c r="AN517" s="32">
        <f t="shared" si="453"/>
        <v>16.4407151651927</v>
      </c>
      <c r="AO517" s="32">
        <f t="shared" si="454"/>
        <v>-1.50993415479203</v>
      </c>
      <c r="AP517" s="30" t="str">
        <f t="shared" si="455"/>
        <v>1,95668279466392-38,7066116322746i</v>
      </c>
      <c r="AQ517" s="32">
        <f t="shared" si="456"/>
        <v>31.7667872013505</v>
      </c>
      <c r="AR517" s="31">
        <f t="shared" si="457"/>
        <v>-87.1060676758141</v>
      </c>
      <c r="AS517" t="str">
        <f t="shared" si="433"/>
        <v>-0,0000504684572142411</v>
      </c>
      <c r="AT517" t="str">
        <f t="shared" si="434"/>
        <v>1,37969452461168i</v>
      </c>
      <c r="AU517">
        <f t="shared" si="458"/>
        <v>1.37969452461168</v>
      </c>
      <c r="AV517">
        <f t="shared" si="459"/>
        <v>1.5707963267949</v>
      </c>
      <c r="AW517" t="str">
        <f t="shared" si="435"/>
        <v>1+70,6378290496449i</v>
      </c>
      <c r="AX517">
        <f t="shared" si="460"/>
        <v>70.6449070552638</v>
      </c>
      <c r="AY517">
        <f t="shared" si="461"/>
        <v>1.55664055194677</v>
      </c>
      <c r="AZ517" t="str">
        <f t="shared" si="436"/>
        <v>1+3377,08940158621i</v>
      </c>
      <c r="BA517">
        <f t="shared" si="462"/>
        <v>3377.0895496427</v>
      </c>
      <c r="BB517">
        <f t="shared" si="463"/>
        <v>1.57050021382546</v>
      </c>
      <c r="BC517" s="30" t="str">
        <f t="shared" si="464"/>
        <v>-0,0000242346938721494+0,00174846560580687i</v>
      </c>
      <c r="BD517" s="32">
        <f t="shared" si="465"/>
        <v>-55.1460238622089</v>
      </c>
      <c r="BE517" s="31">
        <f t="shared" si="466"/>
        <v>90.794100131127</v>
      </c>
      <c r="BF517" s="30" t="str">
        <f t="shared" si="467"/>
        <v>-0,00107556876568594-0,00316241426642886i</v>
      </c>
      <c r="BG517" s="68">
        <f t="shared" si="468"/>
        <v>-49.5242484636415</v>
      </c>
      <c r="BH517" s="31">
        <f t="shared" si="469"/>
        <v>-108.783683295742</v>
      </c>
      <c r="BI517" s="30" t="str">
        <f t="shared" si="476"/>
        <v>0,0676297595478227+0,00435923545168028i</v>
      </c>
      <c r="BJ517" s="68">
        <f t="shared" si="470"/>
        <v>-23.3792366608584</v>
      </c>
      <c r="BK517" s="31">
        <f t="shared" si="477"/>
        <v>3.68803245531288</v>
      </c>
      <c r="BL517" s="32">
        <f t="shared" si="471"/>
        <v>-49.5242484636415</v>
      </c>
      <c r="BM517" s="31">
        <f t="shared" si="472"/>
        <v>-108.783683295742</v>
      </c>
      <c r="BO517">
        <f t="shared" si="473"/>
        <v>0</v>
      </c>
      <c r="BP517">
        <f t="shared" si="474"/>
        <v>0</v>
      </c>
    </row>
    <row r="518" spans="14:68">
      <c r="N518" s="7">
        <v>100</v>
      </c>
      <c r="O518" s="18">
        <f t="shared" si="475"/>
        <v>1000000</v>
      </c>
      <c r="P518" s="86" t="str">
        <f t="shared" si="425"/>
        <v>163,636363636364</v>
      </c>
      <c r="Q518" s="4" t="str">
        <f t="shared" si="426"/>
        <v>1+38384,5502402244i</v>
      </c>
      <c r="R518" s="4">
        <f t="shared" si="437"/>
        <v>38384.5502532505</v>
      </c>
      <c r="S518" s="4">
        <f t="shared" si="438"/>
        <v>1.57077027464648</v>
      </c>
      <c r="T518" s="4" t="str">
        <f t="shared" si="427"/>
        <v>1+98,520345616576i</v>
      </c>
      <c r="U518" s="4">
        <f t="shared" si="439"/>
        <v>98.5254205797143</v>
      </c>
      <c r="V518" s="4">
        <f t="shared" si="440"/>
        <v>1.56064648765496</v>
      </c>
      <c r="W518" t="str">
        <f t="shared" si="428"/>
        <v>1-94,247779607694i</v>
      </c>
      <c r="X518" s="4">
        <f t="shared" si="441"/>
        <v>94.2530846231595</v>
      </c>
      <c r="Y518" s="4">
        <f t="shared" si="442"/>
        <v>-1.56018639539564</v>
      </c>
      <c r="Z518" t="str">
        <f t="shared" si="429"/>
        <v>-7,16326530612251+19,522754347308i</v>
      </c>
      <c r="AA518" s="4">
        <f t="shared" si="443"/>
        <v>20.7954395758116</v>
      </c>
      <c r="AB518" s="4">
        <f t="shared" si="444"/>
        <v>1.9224633422097</v>
      </c>
      <c r="AC518" s="67" t="str">
        <f t="shared" si="445"/>
        <v>-1,78751428949967+0,654886765461483i</v>
      </c>
      <c r="AD518" s="68">
        <f t="shared" si="446"/>
        <v>5.5919825660379</v>
      </c>
      <c r="AE518" s="31">
        <f t="shared" si="447"/>
        <v>159.878818245567</v>
      </c>
      <c r="AF518" s="32" t="str">
        <f t="shared" si="448"/>
        <v>748,315388573934</v>
      </c>
      <c r="AG518" s="32" t="str">
        <f t="shared" si="430"/>
        <v>1+31276,3001957384i</v>
      </c>
      <c r="AH518" s="32">
        <f t="shared" si="449"/>
        <v>31276.3002117249</v>
      </c>
      <c r="AI518" s="32">
        <f t="shared" si="450"/>
        <v>1.57076435370366</v>
      </c>
      <c r="AJ518" s="32" t="str">
        <f t="shared" si="431"/>
        <v>1+98,520345616576i</v>
      </c>
      <c r="AK518" s="32">
        <f t="shared" si="451"/>
        <v>98.5254205797143</v>
      </c>
      <c r="AL518" s="32">
        <f t="shared" si="452"/>
        <v>1.56064648765496</v>
      </c>
      <c r="AM518" s="32" t="str">
        <f t="shared" si="432"/>
        <v>1-16,7925190836272i</v>
      </c>
      <c r="AN518" s="32">
        <f t="shared" si="453"/>
        <v>16.8222678962732</v>
      </c>
      <c r="AO518" s="32">
        <f t="shared" si="454"/>
        <v>-1.51131624382687</v>
      </c>
      <c r="AP518" s="30" t="str">
        <f t="shared" si="455"/>
        <v>1,95668275870546-39,6070797910825i</v>
      </c>
      <c r="AQ518" s="32">
        <f t="shared" si="456"/>
        <v>31.9660429088676</v>
      </c>
      <c r="AR518" s="31">
        <f t="shared" si="457"/>
        <v>-87.1717533031133</v>
      </c>
      <c r="AS518" t="str">
        <f t="shared" si="433"/>
        <v>-0,0000504684572142411</v>
      </c>
      <c r="AT518" t="str">
        <f t="shared" si="434"/>
        <v>1,41183173852325i</v>
      </c>
      <c r="AU518">
        <f t="shared" si="458"/>
        <v>1.41183173852325</v>
      </c>
      <c r="AV518">
        <f t="shared" si="459"/>
        <v>1.5707963267949</v>
      </c>
      <c r="AW518" t="str">
        <f t="shared" si="435"/>
        <v>1+72,2831954564274i</v>
      </c>
      <c r="AX518">
        <f t="shared" si="460"/>
        <v>72.2901123625637</v>
      </c>
      <c r="AY518">
        <f t="shared" si="461"/>
        <v>1.55696273513569</v>
      </c>
      <c r="AZ518" t="str">
        <f t="shared" si="436"/>
        <v>1+3455,75191894877i</v>
      </c>
      <c r="BA518">
        <f t="shared" si="462"/>
        <v>3455.75206363508</v>
      </c>
      <c r="BB518">
        <f t="shared" si="463"/>
        <v>1.57050695417917</v>
      </c>
      <c r="BC518" s="30" t="str">
        <f t="shared" si="464"/>
        <v>-0,0000231441616922734+0,0017086807564948i</v>
      </c>
      <c r="BD518" s="32">
        <f t="shared" si="465"/>
        <v>-55.3459847134024</v>
      </c>
      <c r="BE518" s="31">
        <f t="shared" si="466"/>
        <v>90.7760265879921</v>
      </c>
      <c r="BF518" s="30" t="str">
        <f t="shared" si="467"/>
        <v>-0,00107762189408373-0,00306944807361753i</v>
      </c>
      <c r="BG518" s="68">
        <f t="shared" si="468"/>
        <v>-49.7540021473645</v>
      </c>
      <c r="BH518" s="31">
        <f t="shared" si="469"/>
        <v>-109.345155166441</v>
      </c>
      <c r="BI518" s="30" t="str">
        <f t="shared" si="476"/>
        <v>0,0676305692778288+0,00426001883520876i</v>
      </c>
      <c r="BJ518" s="68">
        <f t="shared" si="470"/>
        <v>-23.3799418045348</v>
      </c>
      <c r="BK518" s="31">
        <f t="shared" si="477"/>
        <v>3.60427328487874</v>
      </c>
      <c r="BL518" s="32">
        <f t="shared" si="471"/>
        <v>-49.7540021473645</v>
      </c>
      <c r="BM518" s="31">
        <f t="shared" si="472"/>
        <v>-109.345155166441</v>
      </c>
      <c r="BO518">
        <f t="shared" si="473"/>
        <v>0</v>
      </c>
      <c r="BP518">
        <f t="shared" si="474"/>
        <v>0</v>
      </c>
    </row>
    <row r="519" spans="14:68">
      <c r="N519" s="7">
        <v>1</v>
      </c>
      <c r="O519" s="18">
        <f>10^(6+(N519/100))</f>
        <v>1023292.99228076</v>
      </c>
      <c r="P519" s="86" t="str">
        <f t="shared" si="425"/>
        <v>163,636363636364</v>
      </c>
      <c r="Q519" s="4" t="str">
        <f t="shared" si="426"/>
        <v>1+39278,6412726704i</v>
      </c>
      <c r="R519" s="4">
        <f t="shared" si="437"/>
        <v>39278.6412854</v>
      </c>
      <c r="S519" s="4">
        <f t="shared" si="438"/>
        <v>1.57077086766578</v>
      </c>
      <c r="T519" s="4" t="str">
        <f t="shared" si="427"/>
        <v>1+100,815179266521i</v>
      </c>
      <c r="U519" s="4">
        <f t="shared" si="439"/>
        <v>100.820138715143</v>
      </c>
      <c r="V519" s="4">
        <f t="shared" si="440"/>
        <v>1.56087751087097</v>
      </c>
      <c r="W519" t="str">
        <f t="shared" si="428"/>
        <v>1-96,4430924105746i</v>
      </c>
      <c r="X519" s="4">
        <f t="shared" si="441"/>
        <v>96.4482766757117</v>
      </c>
      <c r="Y519" s="4">
        <f t="shared" si="442"/>
        <v>-1.56042788940951</v>
      </c>
      <c r="Z519" t="str">
        <f t="shared" si="429"/>
        <v>-7,54798814735442+19,977497713619i</v>
      </c>
      <c r="AA519" s="4">
        <f t="shared" si="443"/>
        <v>21.3558549341921</v>
      </c>
      <c r="AB519" s="4">
        <f t="shared" si="444"/>
        <v>1.93204097138498</v>
      </c>
      <c r="AC519" s="67" t="str">
        <f t="shared" si="445"/>
        <v>-1,7748031477497+0,669600751460339i</v>
      </c>
      <c r="AD519" s="68">
        <f t="shared" si="446"/>
        <v>5.56096328391606</v>
      </c>
      <c r="AE519" s="31">
        <f t="shared" si="447"/>
        <v>159.329426606054</v>
      </c>
      <c r="AF519" s="32" t="str">
        <f t="shared" si="448"/>
        <v>748,315388573934</v>
      </c>
      <c r="AG519" s="32" t="str">
        <f t="shared" si="430"/>
        <v>1+32004,8188147685i</v>
      </c>
      <c r="AH519" s="32">
        <f t="shared" si="449"/>
        <v>32004.8188303911</v>
      </c>
      <c r="AI519" s="32">
        <f t="shared" si="450"/>
        <v>1.57076508150007</v>
      </c>
      <c r="AJ519" s="32" t="str">
        <f t="shared" si="431"/>
        <v>1+100,815179266521i</v>
      </c>
      <c r="AK519" s="32">
        <f t="shared" si="451"/>
        <v>100.820138715143</v>
      </c>
      <c r="AL519" s="32">
        <f t="shared" si="452"/>
        <v>1.56087751087097</v>
      </c>
      <c r="AM519" s="32" t="str">
        <f t="shared" si="432"/>
        <v>1-17,1836671010166i</v>
      </c>
      <c r="AN519" s="32">
        <f t="shared" si="453"/>
        <v>17.2127399050401</v>
      </c>
      <c r="AO519" s="32">
        <f t="shared" si="454"/>
        <v>-1.51266709254231</v>
      </c>
      <c r="AP519" s="30" t="str">
        <f t="shared" si="455"/>
        <v>1,95668272436542-40,5285481478573i</v>
      </c>
      <c r="AQ519" s="32">
        <f t="shared" si="456"/>
        <v>32.1653320025274</v>
      </c>
      <c r="AR519" s="31">
        <f t="shared" si="457"/>
        <v>-87.2359562776841</v>
      </c>
      <c r="AS519" t="str">
        <f t="shared" si="433"/>
        <v>-0,0000504684572142411</v>
      </c>
      <c r="AT519" t="str">
        <f t="shared" si="434"/>
        <v>1,44471752431041i</v>
      </c>
      <c r="AU519">
        <f t="shared" si="458"/>
        <v>1.44471752431041</v>
      </c>
      <c r="AV519">
        <f t="shared" si="459"/>
        <v>1.5707963267949</v>
      </c>
      <c r="AW519" t="str">
        <f t="shared" si="435"/>
        <v>1+73,9668873702226i</v>
      </c>
      <c r="AX519">
        <f t="shared" si="460"/>
        <v>73.9736468429075</v>
      </c>
      <c r="AY519">
        <f t="shared" si="461"/>
        <v>1.55727758731516</v>
      </c>
      <c r="AZ519" t="str">
        <f t="shared" si="436"/>
        <v>1+3536,24672172106i</v>
      </c>
      <c r="BA519">
        <f t="shared" si="462"/>
        <v>3536.24686311391</v>
      </c>
      <c r="BB519">
        <f t="shared" si="463"/>
        <v>1.57051354110373</v>
      </c>
      <c r="BC519" s="30" t="str">
        <f t="shared" si="464"/>
        <v>-0,0000221026931839434+0,00166980051417683i</v>
      </c>
      <c r="BD519" s="32">
        <f t="shared" si="465"/>
        <v>-55.5459473262529</v>
      </c>
      <c r="BE519" s="31">
        <f t="shared" si="466"/>
        <v>90.7583642899154</v>
      </c>
      <c r="BF519" s="30" t="str">
        <f t="shared" si="467"/>
        <v>-0,00107887174964506-0,00297836718864037i</v>
      </c>
      <c r="BG519" s="68">
        <f t="shared" si="468"/>
        <v>-49.9849840423368</v>
      </c>
      <c r="BH519" s="31">
        <f t="shared" si="469"/>
        <v>-109.912209104031</v>
      </c>
      <c r="BI519" s="30" t="str">
        <f t="shared" si="476"/>
        <v>0,0676313425782176+0,00416305988412907i</v>
      </c>
      <c r="BJ519" s="68">
        <f t="shared" si="470"/>
        <v>-23.3806153237255</v>
      </c>
      <c r="BK519" s="31">
        <f t="shared" si="477"/>
        <v>3.52240801223133</v>
      </c>
      <c r="BL519" s="32">
        <f t="shared" si="471"/>
        <v>-49.9849840423368</v>
      </c>
      <c r="BM519" s="31">
        <f t="shared" si="472"/>
        <v>-109.912209104031</v>
      </c>
      <c r="BO519">
        <f t="shared" si="473"/>
        <v>0</v>
      </c>
      <c r="BP519">
        <f t="shared" si="474"/>
        <v>0</v>
      </c>
    </row>
    <row r="520" spans="14:68">
      <c r="N520" s="7">
        <v>2</v>
      </c>
      <c r="O520" s="18">
        <f t="shared" ref="O520:O560" si="478">10^(6+(N520/100))</f>
        <v>1047128.5480509</v>
      </c>
      <c r="P520" s="86" t="str">
        <f t="shared" si="425"/>
        <v>163,636363636364</v>
      </c>
      <c r="Q520" s="4" t="str">
        <f t="shared" si="426"/>
        <v>1+40193,558360633i</v>
      </c>
      <c r="R520" s="4">
        <f t="shared" si="437"/>
        <v>40193.5583730728</v>
      </c>
      <c r="S520" s="4">
        <f t="shared" si="438"/>
        <v>1.57077144718631</v>
      </c>
      <c r="T520" s="4" t="str">
        <f t="shared" si="427"/>
        <v>1+103,163466458958i</v>
      </c>
      <c r="U520" s="4">
        <f t="shared" si="439"/>
        <v>103.168313022112</v>
      </c>
      <c r="V520" s="4">
        <f t="shared" si="440"/>
        <v>1.56110327637968</v>
      </c>
      <c r="W520" t="str">
        <f t="shared" si="428"/>
        <v>1-98,6895406176258i</v>
      </c>
      <c r="X520" s="4">
        <f t="shared" si="441"/>
        <v>98.6946068806093</v>
      </c>
      <c r="Y520" s="4">
        <f t="shared" si="442"/>
        <v>-1.56066388751715</v>
      </c>
      <c r="Z520" t="str">
        <f t="shared" si="429"/>
        <v>-7,95084241749546+20,442833413651i</v>
      </c>
      <c r="AA520" s="4">
        <f t="shared" si="443"/>
        <v>21.934569362678</v>
      </c>
      <c r="AB520" s="4">
        <f t="shared" si="444"/>
        <v>1.94172380221283</v>
      </c>
      <c r="AC520" s="67" t="str">
        <f t="shared" si="445"/>
        <v>-1,76166913296522+0,684225505728551i</v>
      </c>
      <c r="AD520" s="68">
        <f t="shared" si="446"/>
        <v>5.52868003607899</v>
      </c>
      <c r="AE520" s="31">
        <f t="shared" si="447"/>
        <v>158.774021777066</v>
      </c>
      <c r="AF520" s="32" t="str">
        <f t="shared" si="448"/>
        <v>748,315388573934</v>
      </c>
      <c r="AG520" s="32" t="str">
        <f t="shared" si="430"/>
        <v>1+32750,3068123676i</v>
      </c>
      <c r="AH520" s="32">
        <f t="shared" si="449"/>
        <v>32750.3068276346</v>
      </c>
      <c r="AI520" s="32">
        <f t="shared" si="450"/>
        <v>1.57076579272981</v>
      </c>
      <c r="AJ520" s="32" t="str">
        <f t="shared" si="431"/>
        <v>1+103,163466458958i</v>
      </c>
      <c r="AK520" s="32">
        <f t="shared" si="451"/>
        <v>103.168313022112</v>
      </c>
      <c r="AL520" s="32">
        <f t="shared" si="452"/>
        <v>1.56110327637968</v>
      </c>
      <c r="AM520" s="32" t="str">
        <f t="shared" si="432"/>
        <v>1-17,5839261261555i</v>
      </c>
      <c r="AN520" s="32">
        <f t="shared" si="453"/>
        <v>17.6123382323329</v>
      </c>
      <c r="AO520" s="32">
        <f t="shared" si="454"/>
        <v>-1.51398739744492</v>
      </c>
      <c r="AP520" s="30" t="str">
        <f t="shared" si="455"/>
        <v>1,95668269157093-41,4715052773184i</v>
      </c>
      <c r="AQ520" s="32">
        <f t="shared" si="456"/>
        <v>32.3646529895753</v>
      </c>
      <c r="AR520" s="31">
        <f t="shared" si="457"/>
        <v>-87.2987095159283</v>
      </c>
      <c r="AS520" t="str">
        <f t="shared" si="433"/>
        <v>-0,0000504684572142411</v>
      </c>
      <c r="AT520" t="str">
        <f t="shared" si="434"/>
        <v>1,47836931845203i</v>
      </c>
      <c r="AU520">
        <f t="shared" si="458"/>
        <v>1.47836931845203</v>
      </c>
      <c r="AV520">
        <f t="shared" si="459"/>
        <v>1.5707963267949</v>
      </c>
      <c r="AW520" t="str">
        <f t="shared" si="435"/>
        <v>1+75,6897975067682i</v>
      </c>
      <c r="AX520">
        <f t="shared" si="460"/>
        <v>75.6964031286532</v>
      </c>
      <c r="AY520">
        <f t="shared" si="461"/>
        <v>1.55758527517412</v>
      </c>
      <c r="AZ520" t="str">
        <f t="shared" si="436"/>
        <v>1+3618,61648931294i</v>
      </c>
      <c r="BA520">
        <f t="shared" si="462"/>
        <v>3618.61662748729</v>
      </c>
      <c r="BB520">
        <f t="shared" si="463"/>
        <v>1.5705199780916</v>
      </c>
      <c r="BC520" s="30" t="str">
        <f t="shared" si="464"/>
        <v>-0,0000211080817333843+0,00163180435465248i</v>
      </c>
      <c r="BD520" s="32">
        <f t="shared" si="465"/>
        <v>-55.7459116215014</v>
      </c>
      <c r="BE520" s="31">
        <f t="shared" si="466"/>
        <v>90.7411038864273</v>
      </c>
      <c r="BF520" s="30" t="str">
        <f t="shared" si="467"/>
        <v>-0,00107933670376633-0,00288914205052849i</v>
      </c>
      <c r="BG520" s="68">
        <f t="shared" si="468"/>
        <v>-50.2172315854224</v>
      </c>
      <c r="BH520" s="31">
        <f t="shared" si="469"/>
        <v>-110.484874336507</v>
      </c>
      <c r="BI520" s="30" t="str">
        <f t="shared" si="476"/>
        <v>0,0676320810873415+0,00406830725977869i</v>
      </c>
      <c r="BJ520" s="68">
        <f t="shared" si="470"/>
        <v>-23.3812586319261</v>
      </c>
      <c r="BK520" s="31">
        <f t="shared" si="477"/>
        <v>3.442394370499</v>
      </c>
      <c r="BL520" s="32">
        <f t="shared" si="471"/>
        <v>-50.2172315854224</v>
      </c>
      <c r="BM520" s="31">
        <f t="shared" si="472"/>
        <v>-110.484874336507</v>
      </c>
      <c r="BO520">
        <f t="shared" si="473"/>
        <v>0</v>
      </c>
      <c r="BP520">
        <f t="shared" si="474"/>
        <v>0</v>
      </c>
    </row>
    <row r="521" spans="14:68">
      <c r="N521" s="7">
        <v>3</v>
      </c>
      <c r="O521" s="18">
        <f t="shared" si="478"/>
        <v>1071519.30523761</v>
      </c>
      <c r="P521" s="86" t="str">
        <f t="shared" si="425"/>
        <v>163,636363636364</v>
      </c>
      <c r="Q521" s="4" t="str">
        <f t="shared" si="426"/>
        <v>1+41129,7866052634i</v>
      </c>
      <c r="R521" s="4">
        <f t="shared" si="437"/>
        <v>41129.78661742</v>
      </c>
      <c r="S521" s="4">
        <f t="shared" si="438"/>
        <v>1.57077201351534</v>
      </c>
      <c r="T521" s="4" t="str">
        <f t="shared" si="427"/>
        <v>1+105,566452286843i</v>
      </c>
      <c r="U521" s="4">
        <f t="shared" si="439"/>
        <v>105.571188533758</v>
      </c>
      <c r="V521" s="4">
        <f t="shared" si="440"/>
        <v>1.56132390379283</v>
      </c>
      <c r="W521" t="str">
        <f t="shared" si="428"/>
        <v>1-100,988315325424i</v>
      </c>
      <c r="X521" s="4">
        <f t="shared" si="441"/>
        <v>100.993266271902</v>
      </c>
      <c r="Y521" s="4">
        <f t="shared" si="442"/>
        <v>-1.56089451474265</v>
      </c>
      <c r="Z521" t="str">
        <f t="shared" si="429"/>
        <v>-8,37268262446447+20,919008174552i</v>
      </c>
      <c r="AA521" s="4">
        <f t="shared" si="443"/>
        <v>22.5323482428482</v>
      </c>
      <c r="AB521" s="4">
        <f t="shared" si="444"/>
        <v>1.95151200576852</v>
      </c>
      <c r="AC521" s="67" t="str">
        <f t="shared" si="445"/>
        <v>-1,74810769667787+0,698747530631731i</v>
      </c>
      <c r="AD521" s="68">
        <f t="shared" si="446"/>
        <v>5.49509475802609</v>
      </c>
      <c r="AE521" s="31">
        <f t="shared" si="447"/>
        <v>158.212593629003</v>
      </c>
      <c r="AF521" s="32" t="str">
        <f t="shared" si="448"/>
        <v>748,315388573934</v>
      </c>
      <c r="AG521" s="32" t="str">
        <f t="shared" si="430"/>
        <v>1+33513,1594561406i</v>
      </c>
      <c r="AH521" s="32">
        <f t="shared" si="449"/>
        <v>33513.1594710601</v>
      </c>
      <c r="AI521" s="32">
        <f t="shared" si="450"/>
        <v>1.57076648776999</v>
      </c>
      <c r="AJ521" s="32" t="str">
        <f t="shared" si="431"/>
        <v>1+105,566452286843i</v>
      </c>
      <c r="AK521" s="32">
        <f t="shared" si="451"/>
        <v>105.571188533758</v>
      </c>
      <c r="AL521" s="32">
        <f t="shared" si="452"/>
        <v>1.56132390379283</v>
      </c>
      <c r="AM521" s="32" t="str">
        <f t="shared" si="432"/>
        <v>1-17,9935083816775i</v>
      </c>
      <c r="AN521" s="32">
        <f t="shared" si="453"/>
        <v>18.0212747573943</v>
      </c>
      <c r="AO521" s="32">
        <f t="shared" si="454"/>
        <v>-1.51527784015493</v>
      </c>
      <c r="AP521" s="30" t="str">
        <f t="shared" si="455"/>
        <v>1,95668266025243-42,4364511478181i</v>
      </c>
      <c r="AQ521" s="32">
        <f t="shared" si="456"/>
        <v>32.5640044435777</v>
      </c>
      <c r="AR521" s="31">
        <f t="shared" si="457"/>
        <v>-87.3600452401659</v>
      </c>
      <c r="AS521" t="str">
        <f t="shared" si="433"/>
        <v>-0,0000504684572142411</v>
      </c>
      <c r="AT521" t="str">
        <f t="shared" si="434"/>
        <v>1,51280496357484i</v>
      </c>
      <c r="AU521">
        <f t="shared" si="458"/>
        <v>1.51280496357484</v>
      </c>
      <c r="AV521">
        <f t="shared" si="459"/>
        <v>1.5707963267949</v>
      </c>
      <c r="AW521" t="str">
        <f t="shared" si="435"/>
        <v>1+77,4528393758255i</v>
      </c>
      <c r="AX521">
        <f t="shared" si="460"/>
        <v>77.4592946480758</v>
      </c>
      <c r="AY521">
        <f t="shared" si="461"/>
        <v>1.55788596161959</v>
      </c>
      <c r="AZ521" t="str">
        <f t="shared" si="436"/>
        <v>1+3702,90489526552i</v>
      </c>
      <c r="BA521">
        <f t="shared" si="462"/>
        <v>3702.90503029464</v>
      </c>
      <c r="BB521">
        <f t="shared" si="463"/>
        <v>1.57052626855576</v>
      </c>
      <c r="BC521" s="30" t="str">
        <f t="shared" si="464"/>
        <v>-0,0000201582198987336+0,00159467221642868i</v>
      </c>
      <c r="BD521" s="32">
        <f t="shared" si="465"/>
        <v>-55.9458775234543</v>
      </c>
      <c r="BE521" s="31">
        <f t="shared" si="466"/>
        <v>90.7242362391928</v>
      </c>
      <c r="BF521" s="30" t="str">
        <f t="shared" si="467"/>
        <v>-0,00107903453404027-0,00280174428159351i</v>
      </c>
      <c r="BG521" s="68">
        <f t="shared" si="468"/>
        <v>-50.4507827654282</v>
      </c>
      <c r="BH521" s="31">
        <f t="shared" si="469"/>
        <v>-111.063170131804</v>
      </c>
      <c r="BI521" s="30" t="str">
        <f t="shared" si="476"/>
        <v>0,0676327863699211+0,00397571078863189i</v>
      </c>
      <c r="BJ521" s="68">
        <f t="shared" si="470"/>
        <v>-23.3818730798766</v>
      </c>
      <c r="BK521" s="31">
        <f t="shared" si="477"/>
        <v>3.3641909990269</v>
      </c>
      <c r="BL521" s="32">
        <f t="shared" si="471"/>
        <v>-50.4507827654282</v>
      </c>
      <c r="BM521" s="31">
        <f t="shared" si="472"/>
        <v>-111.063170131804</v>
      </c>
      <c r="BO521">
        <f t="shared" si="473"/>
        <v>0</v>
      </c>
      <c r="BP521">
        <f t="shared" si="474"/>
        <v>0</v>
      </c>
    </row>
    <row r="522" spans="14:68">
      <c r="N522" s="7">
        <v>4</v>
      </c>
      <c r="O522" s="18">
        <f t="shared" si="478"/>
        <v>1096478.19614319</v>
      </c>
      <c r="P522" s="86" t="str">
        <f t="shared" si="425"/>
        <v>163,636363636364</v>
      </c>
      <c r="Q522" s="4" t="str">
        <f t="shared" si="426"/>
        <v>1+42087,8224071689i</v>
      </c>
      <c r="R522" s="4">
        <f t="shared" si="437"/>
        <v>42087.8224190488</v>
      </c>
      <c r="S522" s="4">
        <f t="shared" si="438"/>
        <v>1.57077256695315</v>
      </c>
      <c r="T522" s="4" t="str">
        <f t="shared" si="427"/>
        <v>1+108,025410845067i</v>
      </c>
      <c r="U522" s="4">
        <f t="shared" si="439"/>
        <v>108.030039286513</v>
      </c>
      <c r="V522" s="4">
        <f t="shared" si="440"/>
        <v>1.56153951000403</v>
      </c>
      <c r="W522" t="str">
        <f t="shared" si="428"/>
        <v>1-103,340635374745i</v>
      </c>
      <c r="X522" s="4">
        <f t="shared" si="441"/>
        <v>103.34547362926</v>
      </c>
      <c r="Y522" s="4">
        <f t="shared" si="442"/>
        <v>-1.56111989326943</v>
      </c>
      <c r="Z522" t="str">
        <f t="shared" si="429"/>
        <v>-8,8144035478974+21,4062744704829i</v>
      </c>
      <c r="AA522" s="4">
        <f t="shared" si="443"/>
        <v>23.149995607145</v>
      </c>
      <c r="AB522" s="4">
        <f t="shared" si="444"/>
        <v>1.96140557679979</v>
      </c>
      <c r="AC522" s="67" t="str">
        <f t="shared" si="445"/>
        <v>-1,73411485932199+0,713152704896805i</v>
      </c>
      <c r="AD522" s="68">
        <f t="shared" si="446"/>
        <v>5.46016889221506</v>
      </c>
      <c r="AE522" s="31">
        <f t="shared" si="447"/>
        <v>157.645142142508</v>
      </c>
      <c r="AF522" s="32" t="str">
        <f t="shared" si="448"/>
        <v>748,315388573934</v>
      </c>
      <c r="AG522" s="32" t="str">
        <f t="shared" si="430"/>
        <v>1+34293,7812206562i</v>
      </c>
      <c r="AH522" s="32">
        <f t="shared" si="449"/>
        <v>34293.7812352361</v>
      </c>
      <c r="AI522" s="32">
        <f t="shared" si="450"/>
        <v>1.57076716698912</v>
      </c>
      <c r="AJ522" s="32" t="str">
        <f t="shared" si="431"/>
        <v>1+108,025410845067i</v>
      </c>
      <c r="AK522" s="32">
        <f t="shared" si="451"/>
        <v>108.030039286513</v>
      </c>
      <c r="AL522" s="32">
        <f t="shared" si="452"/>
        <v>1.56153951000403</v>
      </c>
      <c r="AM522" s="32" t="str">
        <f t="shared" si="432"/>
        <v>1-18,4126310335156i</v>
      </c>
      <c r="AN522" s="32">
        <f t="shared" si="453"/>
        <v>18.4397663102432</v>
      </c>
      <c r="AO522" s="32">
        <f t="shared" si="454"/>
        <v>-1.51653908768122</v>
      </c>
      <c r="AP522" s="30" t="str">
        <f t="shared" si="455"/>
        <v>1,9566826303435-43,4238973864287i</v>
      </c>
      <c r="AQ522" s="32">
        <f t="shared" si="456"/>
        <v>32.7633850015121</v>
      </c>
      <c r="AR522" s="31">
        <f t="shared" si="457"/>
        <v>-87.4199949907942</v>
      </c>
      <c r="AS522" t="str">
        <f t="shared" si="433"/>
        <v>-0,0000504684572142411</v>
      </c>
      <c r="AT522" t="str">
        <f t="shared" si="434"/>
        <v>1,54804271791368i</v>
      </c>
      <c r="AU522">
        <f t="shared" si="458"/>
        <v>1.54804271791368</v>
      </c>
      <c r="AV522">
        <f t="shared" si="459"/>
        <v>1.5707963267949</v>
      </c>
      <c r="AW522" t="str">
        <f t="shared" si="435"/>
        <v>1+79,2569477655292i</v>
      </c>
      <c r="AX522">
        <f t="shared" si="460"/>
        <v>79.2632561096743</v>
      </c>
      <c r="AY522">
        <f t="shared" si="461"/>
        <v>1.55817980586189</v>
      </c>
      <c r="AZ522" t="str">
        <f t="shared" si="436"/>
        <v>1+3789,15663040731i</v>
      </c>
      <c r="BA522">
        <f t="shared" si="462"/>
        <v>3789.15676236279</v>
      </c>
      <c r="BB522">
        <f t="shared" si="463"/>
        <v>1.5705324158315</v>
      </c>
      <c r="BC522" s="30" t="str">
        <f t="shared" si="464"/>
        <v>-0,0000192510949590686+0,00155838449048629i</v>
      </c>
      <c r="BD522" s="32">
        <f t="shared" si="465"/>
        <v>-56.1458449598219</v>
      </c>
      <c r="BE522" s="31">
        <f t="shared" si="466"/>
        <v>90.7077524172301</v>
      </c>
      <c r="BF522" s="30" t="str">
        <f t="shared" si="467"/>
        <v>-0,00107798250483279-0,00271614667193149i</v>
      </c>
      <c r="BG522" s="68">
        <f t="shared" si="468"/>
        <v>-50.6856760676068</v>
      </c>
      <c r="BH522" s="31">
        <f t="shared" si="469"/>
        <v>-111.647105440262</v>
      </c>
      <c r="BI522" s="30" t="str">
        <f t="shared" si="476"/>
        <v>0,0676334599203571+0,00388522143601022i</v>
      </c>
      <c r="BJ522" s="68">
        <f t="shared" si="470"/>
        <v>-23.3824599583098</v>
      </c>
      <c r="BK522" s="31">
        <f t="shared" si="477"/>
        <v>3.28775742643592</v>
      </c>
      <c r="BL522" s="32">
        <f t="shared" si="471"/>
        <v>-50.6856760676068</v>
      </c>
      <c r="BM522" s="31">
        <f t="shared" si="472"/>
        <v>-111.647105440262</v>
      </c>
      <c r="BO522">
        <f t="shared" si="473"/>
        <v>0</v>
      </c>
      <c r="BP522">
        <f t="shared" si="474"/>
        <v>0</v>
      </c>
    </row>
    <row r="523" spans="14:68">
      <c r="N523" s="7">
        <v>5</v>
      </c>
      <c r="O523" s="18">
        <f t="shared" si="478"/>
        <v>1122018.45430196</v>
      </c>
      <c r="P523" s="86" t="str">
        <f t="shared" si="425"/>
        <v>163,636363636364</v>
      </c>
      <c r="Q523" s="4" t="str">
        <f t="shared" si="426"/>
        <v>1+43068,1737296126i</v>
      </c>
      <c r="R523" s="4">
        <f t="shared" si="437"/>
        <v>43068.1737412221</v>
      </c>
      <c r="S523" s="4">
        <f t="shared" si="438"/>
        <v>1.57077310779318</v>
      </c>
      <c r="T523" s="4" t="str">
        <f t="shared" si="427"/>
        <v>1+110,541645906006i</v>
      </c>
      <c r="U523" s="4">
        <f t="shared" si="439"/>
        <v>110.546168995623</v>
      </c>
      <c r="V523" s="4">
        <f t="shared" si="440"/>
        <v>1.56175020925032</v>
      </c>
      <c r="W523" t="str">
        <f t="shared" si="428"/>
        <v>1-105,747747996817i</v>
      </c>
      <c r="X523" s="4">
        <f t="shared" si="441"/>
        <v>105.752476124194</v>
      </c>
      <c r="Y523" s="4">
        <f t="shared" si="442"/>
        <v>-1.56134014250454</v>
      </c>
      <c r="Z523" t="str">
        <f t="shared" si="429"/>
        <v>-9,2769421370952+21,9048906564834i</v>
      </c>
      <c r="AA523" s="4">
        <f t="shared" si="443"/>
        <v>23.7883561871666</v>
      </c>
      <c r="AB523" s="4">
        <f t="shared" si="444"/>
        <v>1.97140432757383</v>
      </c>
      <c r="AC523" s="67" t="str">
        <f t="shared" si="445"/>
        <v>-1,71968726344813+0,727426302320654i</v>
      </c>
      <c r="AD523" s="68">
        <f t="shared" si="446"/>
        <v>5.42386344820981</v>
      </c>
      <c r="AE523" s="31">
        <f t="shared" si="447"/>
        <v>157.071677760849</v>
      </c>
      <c r="AF523" s="32" t="str">
        <f t="shared" si="448"/>
        <v>748,315388573934</v>
      </c>
      <c r="AG523" s="32" t="str">
        <f t="shared" si="430"/>
        <v>1+35092,5860019065i</v>
      </c>
      <c r="AH523" s="32">
        <f t="shared" si="449"/>
        <v>35092.5860161545</v>
      </c>
      <c r="AI523" s="32">
        <f t="shared" si="450"/>
        <v>1.57076783074734</v>
      </c>
      <c r="AJ523" s="32" t="str">
        <f t="shared" si="431"/>
        <v>1+110,541645906006i</v>
      </c>
      <c r="AK523" s="32">
        <f t="shared" si="451"/>
        <v>110.546168995623</v>
      </c>
      <c r="AL523" s="32">
        <f t="shared" si="452"/>
        <v>1.56175020925032</v>
      </c>
      <c r="AM523" s="32" t="str">
        <f t="shared" si="432"/>
        <v>1-18,8415163060475i</v>
      </c>
      <c r="AN523" s="32">
        <f t="shared" si="453"/>
        <v>18.8680347866717</v>
      </c>
      <c r="AO523" s="32">
        <f t="shared" si="454"/>
        <v>-1.51777179269422</v>
      </c>
      <c r="AP523" s="30" t="str">
        <f t="shared" si="455"/>
        <v>1,9566826017807-44,4343675502169i</v>
      </c>
      <c r="AQ523" s="32">
        <f t="shared" si="456"/>
        <v>32.9627933609827</v>
      </c>
      <c r="AR523" s="31">
        <f t="shared" si="457"/>
        <v>-87.4785896384092</v>
      </c>
      <c r="AS523" t="str">
        <f t="shared" si="433"/>
        <v>-0,0000504684572142411</v>
      </c>
      <c r="AT523" t="str">
        <f t="shared" si="434"/>
        <v>1,58410126499231i</v>
      </c>
      <c r="AU523">
        <f t="shared" si="458"/>
        <v>1.58410126499231</v>
      </c>
      <c r="AV523">
        <f t="shared" si="459"/>
        <v>1.5707963267949</v>
      </c>
      <c r="AW523" t="str">
        <f t="shared" si="435"/>
        <v>1+81,1030792380272i</v>
      </c>
      <c r="AX523">
        <f t="shared" si="460"/>
        <v>81.1092439977696</v>
      </c>
      <c r="AY523">
        <f t="shared" si="461"/>
        <v>1.55846696349803</v>
      </c>
      <c r="AZ523" t="str">
        <f t="shared" si="436"/>
        <v>1+3877,41742654993i</v>
      </c>
      <c r="BA523">
        <f t="shared" si="462"/>
        <v>3877.41755550174</v>
      </c>
      <c r="BB523">
        <f t="shared" si="463"/>
        <v>1.57053842317818</v>
      </c>
      <c r="BC523" s="30" t="str">
        <f t="shared" si="464"/>
        <v>-0,0000183847846626522+0,0015229220102591i</v>
      </c>
      <c r="BD523" s="32">
        <f t="shared" si="465"/>
        <v>-56.3458138615662</v>
      </c>
      <c r="BE523" s="31">
        <f t="shared" si="466"/>
        <v>90.6916436922348</v>
      </c>
      <c r="BF523" s="30" t="str">
        <f t="shared" si="467"/>
        <v>-0,00107619744661991-0,00263232316019351i</v>
      </c>
      <c r="BG523" s="68">
        <f t="shared" si="468"/>
        <v>-50.9219504133564</v>
      </c>
      <c r="BH523" s="31">
        <f t="shared" si="469"/>
        <v>-112.236678546916</v>
      </c>
      <c r="BI523" s="30" t="str">
        <f t="shared" si="476"/>
        <v>0,0676341031658811+0,00379679128037475i</v>
      </c>
      <c r="BJ523" s="68">
        <f t="shared" si="470"/>
        <v>-23.3830205005835</v>
      </c>
      <c r="BK523" s="31">
        <f t="shared" si="477"/>
        <v>3.21305405382557</v>
      </c>
      <c r="BL523" s="32">
        <f t="shared" si="471"/>
        <v>-50.9219504133564</v>
      </c>
      <c r="BM523" s="31">
        <f t="shared" si="472"/>
        <v>-112.236678546916</v>
      </c>
      <c r="BO523">
        <f t="shared" si="473"/>
        <v>0</v>
      </c>
      <c r="BP523">
        <f t="shared" si="474"/>
        <v>0</v>
      </c>
    </row>
    <row r="524" spans="14:68">
      <c r="N524" s="7">
        <v>6</v>
      </c>
      <c r="O524" s="18">
        <f t="shared" si="478"/>
        <v>1148153.62149688</v>
      </c>
      <c r="P524" s="86" t="str">
        <f t="shared" si="425"/>
        <v>163,636363636364</v>
      </c>
      <c r="Q524" s="4" t="str">
        <f t="shared" si="426"/>
        <v>1+44071,3603678426i</v>
      </c>
      <c r="R524" s="4">
        <f t="shared" si="437"/>
        <v>44071.3603791878</v>
      </c>
      <c r="S524" s="4">
        <f t="shared" si="438"/>
        <v>1.57077363632218</v>
      </c>
      <c r="T524" s="4" t="str">
        <f t="shared" si="427"/>
        <v>1+113,116491610796i</v>
      </c>
      <c r="U524" s="4">
        <f t="shared" si="439"/>
        <v>113.120911746393</v>
      </c>
      <c r="V524" s="4">
        <f t="shared" si="440"/>
        <v>1.56195611317235</v>
      </c>
      <c r="W524" t="str">
        <f t="shared" si="428"/>
        <v>1-108,210929474614i</v>
      </c>
      <c r="X524" s="4">
        <f t="shared" si="441"/>
        <v>108.215549981321</v>
      </c>
      <c r="Y524" s="4">
        <f t="shared" si="442"/>
        <v>-1.5615553791415</v>
      </c>
      <c r="Z524" t="str">
        <f t="shared" si="429"/>
        <v>-9,7612794984197+22,4151211054557i</v>
      </c>
      <c r="AA524" s="4">
        <f t="shared" si="443"/>
        <v>24.4483175621251</v>
      </c>
      <c r="AB524" s="4">
        <f t="shared" si="444"/>
        <v>1.98150788194474</v>
      </c>
      <c r="AC524" s="67" t="str">
        <f t="shared" si="445"/>
        <v>-1,70482222727116+0,741553014920481i</v>
      </c>
      <c r="AD524" s="68">
        <f t="shared" si="446"/>
        <v>5.38613906768907</v>
      </c>
      <c r="AE524" s="31">
        <f t="shared" si="447"/>
        <v>156.492221729656</v>
      </c>
      <c r="AF524" s="32" t="str">
        <f t="shared" si="448"/>
        <v>748,315388573934</v>
      </c>
      <c r="AG524" s="32" t="str">
        <f t="shared" si="430"/>
        <v>1+35909,9973367606i</v>
      </c>
      <c r="AH524" s="32">
        <f t="shared" si="449"/>
        <v>35909.9973506843</v>
      </c>
      <c r="AI524" s="32">
        <f t="shared" si="450"/>
        <v>1.57076847939657</v>
      </c>
      <c r="AJ524" s="32" t="str">
        <f t="shared" si="431"/>
        <v>1+113,116491610796i</v>
      </c>
      <c r="AK524" s="32">
        <f t="shared" si="451"/>
        <v>113.120911746393</v>
      </c>
      <c r="AL524" s="32">
        <f t="shared" si="452"/>
        <v>1.56195611317235</v>
      </c>
      <c r="AM524" s="32" t="str">
        <f t="shared" si="432"/>
        <v>1-19,280391599922i</v>
      </c>
      <c r="AN524" s="32">
        <f t="shared" si="453"/>
        <v>19.3063072659259</v>
      </c>
      <c r="AO524" s="32">
        <f t="shared" si="454"/>
        <v>-1.51897659379659</v>
      </c>
      <c r="AP524" s="30" t="str">
        <f t="shared" si="455"/>
        <v>1,95668257450342-45,4683974038386i</v>
      </c>
      <c r="AQ524" s="32">
        <f t="shared" si="456"/>
        <v>33.162228277554</v>
      </c>
      <c r="AR524" s="31">
        <f t="shared" si="457"/>
        <v>-87.5358593958736</v>
      </c>
      <c r="AS524" t="str">
        <f t="shared" si="433"/>
        <v>-0,0000504684572142411</v>
      </c>
      <c r="AT524" t="str">
        <f t="shared" si="434"/>
        <v>1,62099972352971i</v>
      </c>
      <c r="AU524">
        <f t="shared" si="458"/>
        <v>1.62099972352971</v>
      </c>
      <c r="AV524">
        <f t="shared" si="459"/>
        <v>1.5707963267949</v>
      </c>
      <c r="AW524" t="str">
        <f t="shared" si="435"/>
        <v>1+82,992212636664i</v>
      </c>
      <c r="AX524">
        <f t="shared" si="460"/>
        <v>82.9982370796468</v>
      </c>
      <c r="AY524">
        <f t="shared" si="461"/>
        <v>1.55874758659326</v>
      </c>
      <c r="AZ524" t="str">
        <f t="shared" si="436"/>
        <v>1+3967,73408073582i</v>
      </c>
      <c r="BA524">
        <f t="shared" si="462"/>
        <v>3967.73420675233</v>
      </c>
      <c r="BB524">
        <f t="shared" si="463"/>
        <v>1.57054429378097</v>
      </c>
      <c r="BC524" s="30" t="str">
        <f t="shared" si="464"/>
        <v>-0,0000175574531655426+0,00148826604182271i</v>
      </c>
      <c r="BD524" s="32">
        <f t="shared" si="465"/>
        <v>-56.5457841627546</v>
      </c>
      <c r="BE524" s="31">
        <f t="shared" si="466"/>
        <v>90.6759015340075</v>
      </c>
      <c r="BF524" s="30" t="str">
        <f t="shared" si="467"/>
        <v>-0,00107369583390651-0,00255024881052146i</v>
      </c>
      <c r="BG524" s="68">
        <f t="shared" si="468"/>
        <v>-51.1596450950655</v>
      </c>
      <c r="BH524" s="31">
        <f t="shared" si="469"/>
        <v>-112.831876736336</v>
      </c>
      <c r="BI524" s="30" t="str">
        <f t="shared" si="476"/>
        <v>0,0676347174695712+0,00371037348818985i</v>
      </c>
      <c r="BJ524" s="68">
        <f t="shared" si="470"/>
        <v>-23.3835558852006</v>
      </c>
      <c r="BK524" s="31">
        <f t="shared" si="477"/>
        <v>3.14004213813384</v>
      </c>
      <c r="BL524" s="32">
        <f t="shared" si="471"/>
        <v>-51.1596450950655</v>
      </c>
      <c r="BM524" s="31">
        <f t="shared" si="472"/>
        <v>-112.831876736336</v>
      </c>
      <c r="BO524">
        <f t="shared" si="473"/>
        <v>0</v>
      </c>
      <c r="BP524">
        <f t="shared" si="474"/>
        <v>0</v>
      </c>
    </row>
    <row r="525" spans="14:68">
      <c r="N525" s="7">
        <v>7</v>
      </c>
      <c r="O525" s="18">
        <f t="shared" si="478"/>
        <v>1174897.55493953</v>
      </c>
      <c r="P525" s="86" t="str">
        <f t="shared" si="425"/>
        <v>163,636363636364</v>
      </c>
      <c r="Q525" s="4" t="str">
        <f t="shared" si="426"/>
        <v>1+45097,9142246933i</v>
      </c>
      <c r="R525" s="4">
        <f t="shared" si="437"/>
        <v>45097.9142357803</v>
      </c>
      <c r="S525" s="4">
        <f t="shared" si="438"/>
        <v>1.5707741528204</v>
      </c>
      <c r="T525" s="4" t="str">
        <f t="shared" si="427"/>
        <v>1+115,751313176713i</v>
      </c>
      <c r="U525" s="4">
        <f t="shared" si="439"/>
        <v>115.755632701539</v>
      </c>
      <c r="V525" s="4">
        <f t="shared" si="440"/>
        <v>1.56215733087325</v>
      </c>
      <c r="W525" t="str">
        <f t="shared" si="428"/>
        <v>1-110,731485819559i</v>
      </c>
      <c r="X525" s="4">
        <f t="shared" si="441"/>
        <v>110.736001155032</v>
      </c>
      <c r="Y525" s="4">
        <f t="shared" si="442"/>
        <v>-1.56176571722183</v>
      </c>
      <c r="Z525" t="str">
        <f t="shared" si="429"/>
        <v>-10,2684429763502+22,9372363483373i</v>
      </c>
      <c r="AA525" s="4">
        <f t="shared" si="443"/>
        <v>25.1308124114212</v>
      </c>
      <c r="AB525" s="4">
        <f t="shared" si="444"/>
        <v>1.99171566969065</v>
      </c>
      <c r="AC525" s="67" t="str">
        <f t="shared" si="445"/>
        <v>-1,68951779818885+0,75551698072487i</v>
      </c>
      <c r="AD525" s="68">
        <f t="shared" si="446"/>
        <v>5.34695609434398</v>
      </c>
      <c r="AE525" s="31">
        <f t="shared" si="447"/>
        <v>155.906806421233</v>
      </c>
      <c r="AF525" s="32" t="str">
        <f t="shared" si="448"/>
        <v>748,315388573934</v>
      </c>
      <c r="AG525" s="32" t="str">
        <f t="shared" si="430"/>
        <v>1+36746,4486275278i</v>
      </c>
      <c r="AH525" s="32">
        <f t="shared" si="449"/>
        <v>36746.4486411346</v>
      </c>
      <c r="AI525" s="32">
        <f t="shared" si="450"/>
        <v>1.57076911328074</v>
      </c>
      <c r="AJ525" s="32" t="str">
        <f t="shared" si="431"/>
        <v>1+115,751313176713i</v>
      </c>
      <c r="AK525" s="32">
        <f t="shared" si="451"/>
        <v>115.755632701539</v>
      </c>
      <c r="AL525" s="32">
        <f t="shared" si="452"/>
        <v>1.56215733087325</v>
      </c>
      <c r="AM525" s="32" t="str">
        <f t="shared" si="432"/>
        <v>1-19,7294896126289i</v>
      </c>
      <c r="AN525" s="32">
        <f t="shared" si="453"/>
        <v>19.754816131132</v>
      </c>
      <c r="AO525" s="32">
        <f t="shared" si="454"/>
        <v>-1.5201541157913</v>
      </c>
      <c r="AP525" s="30" t="str">
        <f t="shared" si="455"/>
        <v>1,95668254845383-46,5265352036093i</v>
      </c>
      <c r="AQ525" s="32">
        <f t="shared" si="456"/>
        <v>33.3616885622002</v>
      </c>
      <c r="AR525" s="31">
        <f t="shared" si="457"/>
        <v>-87.5918338303179</v>
      </c>
      <c r="AS525" t="str">
        <f t="shared" si="433"/>
        <v>-0,0000504684572142411</v>
      </c>
      <c r="AT525" t="str">
        <f t="shared" si="434"/>
        <v>1,658757657577i</v>
      </c>
      <c r="AU525">
        <f t="shared" si="458"/>
        <v>1.658757657577</v>
      </c>
      <c r="AV525">
        <f t="shared" si="459"/>
        <v>1.5707963267949</v>
      </c>
      <c r="AW525" t="str">
        <f t="shared" si="435"/>
        <v>1+84,9253496049728i</v>
      </c>
      <c r="AX525">
        <f t="shared" si="460"/>
        <v>84.9312369245077</v>
      </c>
      <c r="AY525">
        <f t="shared" si="461"/>
        <v>1.55902182376076</v>
      </c>
      <c r="AZ525" t="str">
        <f t="shared" si="436"/>
        <v>1+4060,1544800505i</v>
      </c>
      <c r="BA525">
        <f t="shared" si="462"/>
        <v>4060.15460319852</v>
      </c>
      <c r="BB525">
        <f t="shared" si="463"/>
        <v>1.57055003075254</v>
      </c>
      <c r="BC525" s="30" t="str">
        <f t="shared" si="464"/>
        <v>-0,0000167673471520825+0,00145439827428932i</v>
      </c>
      <c r="BD525" s="32">
        <f t="shared" si="465"/>
        <v>-56.74575580042</v>
      </c>
      <c r="BE525" s="31">
        <f t="shared" si="466"/>
        <v>90.6605176059825</v>
      </c>
      <c r="BF525" s="30" t="str">
        <f t="shared" si="467"/>
        <v>-0,00107049386152067-0,00246989978556206i</v>
      </c>
      <c r="BG525" s="68">
        <f t="shared" si="468"/>
        <v>-51.3987997060761</v>
      </c>
      <c r="BH525" s="31">
        <f t="shared" si="469"/>
        <v>-113.432675972785</v>
      </c>
      <c r="BI525" s="30" t="str">
        <f t="shared" si="476"/>
        <v>0,0676353041332343+0,00362592228934578i</v>
      </c>
      <c r="BJ525" s="68">
        <f t="shared" si="470"/>
        <v>-23.3840672382198</v>
      </c>
      <c r="BK525" s="31">
        <f t="shared" si="477"/>
        <v>3.0686837756646</v>
      </c>
      <c r="BL525" s="32">
        <f t="shared" si="471"/>
        <v>-51.3987997060761</v>
      </c>
      <c r="BM525" s="31">
        <f t="shared" si="472"/>
        <v>-113.432675972785</v>
      </c>
      <c r="BO525">
        <f t="shared" si="473"/>
        <v>0</v>
      </c>
      <c r="BP525">
        <f t="shared" si="474"/>
        <v>0</v>
      </c>
    </row>
    <row r="526" spans="14:68">
      <c r="N526" s="7">
        <v>8</v>
      </c>
      <c r="O526" s="18">
        <f t="shared" si="478"/>
        <v>1202264.43461742</v>
      </c>
      <c r="P526" s="86" t="str">
        <f t="shared" si="425"/>
        <v>163,636363636364</v>
      </c>
      <c r="Q526" s="4" t="str">
        <f t="shared" si="426"/>
        <v>1+46148,3795926074i</v>
      </c>
      <c r="R526" s="4">
        <f t="shared" si="437"/>
        <v>46148.379603442</v>
      </c>
      <c r="S526" s="4">
        <f t="shared" si="438"/>
        <v>1.57077465756168</v>
      </c>
      <c r="T526" s="4" t="str">
        <f t="shared" si="427"/>
        <v>1+118,447507621026i</v>
      </c>
      <c r="U526" s="4">
        <f t="shared" si="439"/>
        <v>118.451728825007</v>
      </c>
      <c r="V526" s="4">
        <f t="shared" si="440"/>
        <v>1.56235396897607</v>
      </c>
      <c r="W526" t="str">
        <f t="shared" si="428"/>
        <v>1-113,310753463991i</v>
      </c>
      <c r="X526" s="4">
        <f t="shared" si="441"/>
        <v>113.315166021929</v>
      </c>
      <c r="Y526" s="4">
        <f t="shared" si="442"/>
        <v>-1.56197126819505</v>
      </c>
      <c r="Z526" t="str">
        <f t="shared" si="429"/>
        <v>-10,79950833262+23,4715132175411i</v>
      </c>
      <c r="AA526" s="4">
        <f t="shared" si="443"/>
        <v>25.8368208754006</v>
      </c>
      <c r="AB526" s="4">
        <f t="shared" si="444"/>
        <v>2.00202692117158</v>
      </c>
      <c r="AC526" s="67" t="str">
        <f t="shared" si="445"/>
        <v>-1,67377280586883+0,769301816376167i</v>
      </c>
      <c r="AD526" s="68">
        <f t="shared" si="446"/>
        <v>5.30627464864497</v>
      </c>
      <c r="AE526" s="31">
        <f t="shared" si="447"/>
        <v>155.315475640475</v>
      </c>
      <c r="AF526" s="32" t="str">
        <f t="shared" si="448"/>
        <v>748,315388573934</v>
      </c>
      <c r="AG526" s="32" t="str">
        <f t="shared" si="430"/>
        <v>1+37602,3833717542i</v>
      </c>
      <c r="AH526" s="32">
        <f t="shared" si="449"/>
        <v>37602.3833850512</v>
      </c>
      <c r="AI526" s="32">
        <f t="shared" si="450"/>
        <v>1.57076973273595</v>
      </c>
      <c r="AJ526" s="32" t="str">
        <f t="shared" si="431"/>
        <v>1+118,447507621026i</v>
      </c>
      <c r="AK526" s="32">
        <f t="shared" si="451"/>
        <v>118.451728825007</v>
      </c>
      <c r="AL526" s="32">
        <f t="shared" si="452"/>
        <v>1.56235396897607</v>
      </c>
      <c r="AM526" s="32" t="str">
        <f t="shared" si="432"/>
        <v>1-20,1890484618792i</v>
      </c>
      <c r="AN526" s="32">
        <f t="shared" si="453"/>
        <v>20.2137991925345</v>
      </c>
      <c r="AO526" s="32">
        <f t="shared" si="454"/>
        <v>-1.52130496994706</v>
      </c>
      <c r="AP526" s="30" t="str">
        <f t="shared" si="455"/>
        <v>1,95668252357666-47,6093419881964i</v>
      </c>
      <c r="AQ526" s="32">
        <f t="shared" si="456"/>
        <v>33.5611730788631</v>
      </c>
      <c r="AR526" s="31">
        <f t="shared" si="457"/>
        <v>-87.646541875064</v>
      </c>
      <c r="AS526" t="str">
        <f t="shared" si="433"/>
        <v>-0,0000504684572142411</v>
      </c>
      <c r="AT526" t="str">
        <f t="shared" si="434"/>
        <v>1,69739508689059i</v>
      </c>
      <c r="AU526">
        <f t="shared" si="458"/>
        <v>1.69739508689059</v>
      </c>
      <c r="AV526">
        <f t="shared" si="459"/>
        <v>1.5707963267949</v>
      </c>
      <c r="AW526" t="str">
        <f t="shared" si="435"/>
        <v>1+86,9035151177622i</v>
      </c>
      <c r="AX526">
        <f t="shared" si="460"/>
        <v>86.9092684345181</v>
      </c>
      <c r="AY526">
        <f t="shared" si="461"/>
        <v>1.55928982023962</v>
      </c>
      <c r="AZ526" t="str">
        <f t="shared" si="436"/>
        <v>1+4154,72762701301i</v>
      </c>
      <c r="BA526">
        <f t="shared" si="462"/>
        <v>4154.72774735784</v>
      </c>
      <c r="BB526">
        <f t="shared" si="463"/>
        <v>1.57055563713472</v>
      </c>
      <c r="BC526" s="30" t="str">
        <f t="shared" si="464"/>
        <v>-0,0000160127921291583+0,00142130081040493i</v>
      </c>
      <c r="BD526" s="32">
        <f t="shared" si="465"/>
        <v>-56.9457287144277</v>
      </c>
      <c r="BE526" s="31">
        <f t="shared" si="466"/>
        <v>90.6454837608564</v>
      </c>
      <c r="BF526" s="30" t="str">
        <f t="shared" si="467"/>
        <v>-0,00106660751904962-0,00239125331548532i</v>
      </c>
      <c r="BG526" s="68">
        <f t="shared" si="468"/>
        <v>-51.6394540657827</v>
      </c>
      <c r="BH526" s="31">
        <f t="shared" si="469"/>
        <v>-114.039040598669</v>
      </c>
      <c r="BI526" s="30" t="str">
        <f t="shared" si="476"/>
        <v>0,0676358644001562+0,00354339295312767i</v>
      </c>
      <c r="BJ526" s="68">
        <f t="shared" si="470"/>
        <v>-23.3845556355646</v>
      </c>
      <c r="BK526" s="31">
        <f t="shared" si="477"/>
        <v>2.99894188579238</v>
      </c>
      <c r="BL526" s="32">
        <f t="shared" si="471"/>
        <v>-51.6394540657827</v>
      </c>
      <c r="BM526" s="31">
        <f t="shared" si="472"/>
        <v>-114.039040598669</v>
      </c>
      <c r="BO526">
        <f t="shared" si="473"/>
        <v>0</v>
      </c>
      <c r="BP526">
        <f t="shared" si="474"/>
        <v>0</v>
      </c>
    </row>
    <row r="527" spans="14:68">
      <c r="N527" s="7">
        <v>9</v>
      </c>
      <c r="O527" s="18">
        <f t="shared" si="478"/>
        <v>1230268.77081238</v>
      </c>
      <c r="P527" s="86" t="str">
        <f t="shared" si="425"/>
        <v>163,636363636364</v>
      </c>
      <c r="Q527" s="4" t="str">
        <f t="shared" si="426"/>
        <v>1+47223,313442227i</v>
      </c>
      <c r="R527" s="4">
        <f t="shared" si="437"/>
        <v>47223.313452815</v>
      </c>
      <c r="S527" s="4">
        <f t="shared" si="438"/>
        <v>1.57077515081365</v>
      </c>
      <c r="T527" s="4" t="str">
        <f t="shared" si="427"/>
        <v>1+121,206504501716i</v>
      </c>
      <c r="U527" s="4">
        <f t="shared" si="439"/>
        <v>121.210629622672</v>
      </c>
      <c r="V527" s="4">
        <f t="shared" si="440"/>
        <v>1.56254613168008</v>
      </c>
      <c r="W527" t="str">
        <f t="shared" si="428"/>
        <v>1-115,950099969754i</v>
      </c>
      <c r="X527" s="4">
        <f t="shared" si="441"/>
        <v>115.954412089389</v>
      </c>
      <c r="Y527" s="4">
        <f t="shared" si="442"/>
        <v>-1.56217214097751</v>
      </c>
      <c r="Z527" t="str">
        <f t="shared" si="429"/>
        <v>-11,3556020280507+24,0182349937347i</v>
      </c>
      <c r="AA527" s="4">
        <f t="shared" si="443"/>
        <v>26.5673730284673</v>
      </c>
      <c r="AB527" s="4">
        <f t="shared" si="444"/>
        <v>2.012440662361</v>
      </c>
      <c r="AC527" s="67" t="str">
        <f t="shared" si="445"/>
        <v>-1,65758691446985+0,782890654681549i</v>
      </c>
      <c r="AD527" s="68">
        <f t="shared" si="446"/>
        <v>5.26405470742633</v>
      </c>
      <c r="AE527" s="31">
        <f t="shared" si="447"/>
        <v>154.71828490939</v>
      </c>
      <c r="AF527" s="32" t="str">
        <f t="shared" si="448"/>
        <v>748,315388573934</v>
      </c>
      <c r="AG527" s="32" t="str">
        <f t="shared" si="430"/>
        <v>1+38478,2553973701i</v>
      </c>
      <c r="AH527" s="32">
        <f t="shared" si="449"/>
        <v>38478.2554103645</v>
      </c>
      <c r="AI527" s="32">
        <f t="shared" si="450"/>
        <v>1.57077033809064</v>
      </c>
      <c r="AJ527" s="32" t="str">
        <f t="shared" si="431"/>
        <v>1+121,206504501716i</v>
      </c>
      <c r="AK527" s="32">
        <f t="shared" si="451"/>
        <v>121.210629622672</v>
      </c>
      <c r="AL527" s="32">
        <f t="shared" si="452"/>
        <v>1.56254613168008</v>
      </c>
      <c r="AM527" s="32" t="str">
        <f t="shared" si="432"/>
        <v>1-20,6593118118574i</v>
      </c>
      <c r="AN527" s="32">
        <f t="shared" si="453"/>
        <v>20.6834998136087</v>
      </c>
      <c r="AO527" s="32">
        <f t="shared" si="454"/>
        <v>-1.52242975426092</v>
      </c>
      <c r="AP527" s="30" t="str">
        <f t="shared" si="455"/>
        <v>1,95668249981915-48,7173918760894i</v>
      </c>
      <c r="AQ527" s="32">
        <f t="shared" si="456"/>
        <v>33.7606807421168</v>
      </c>
      <c r="AR527" s="31">
        <f t="shared" si="457"/>
        <v>-87.7000118414595</v>
      </c>
      <c r="AS527" t="str">
        <f t="shared" si="433"/>
        <v>-0,0000504684572142411</v>
      </c>
      <c r="AT527" t="str">
        <f t="shared" si="434"/>
        <v>1,73693249754691i</v>
      </c>
      <c r="AU527">
        <f t="shared" si="458"/>
        <v>1.73693249754691</v>
      </c>
      <c r="AV527">
        <f t="shared" si="459"/>
        <v>1.5707963267949</v>
      </c>
      <c r="AW527" t="str">
        <f t="shared" si="435"/>
        <v>1+88,92775802457i</v>
      </c>
      <c r="AX527">
        <f t="shared" si="460"/>
        <v>88.9333803882236</v>
      </c>
      <c r="AY527">
        <f t="shared" si="461"/>
        <v>1.55955171797104</v>
      </c>
      <c r="AZ527" t="str">
        <f t="shared" si="436"/>
        <v>1+4251,50366555763i</v>
      </c>
      <c r="BA527">
        <f t="shared" si="462"/>
        <v>4251.50378316308</v>
      </c>
      <c r="BB527">
        <f t="shared" si="463"/>
        <v>1.57056111590006</v>
      </c>
      <c r="BC527" s="30" t="str">
        <f t="shared" si="464"/>
        <v>-0,0000152921888864884+0,00138895615734548i</v>
      </c>
      <c r="BD527" s="32">
        <f t="shared" si="465"/>
        <v>-57.1457028473479</v>
      </c>
      <c r="BE527" s="31">
        <f t="shared" si="466"/>
        <v>90.6307920363132</v>
      </c>
      <c r="BF527" s="30" t="str">
        <f t="shared" si="467"/>
        <v>-0,00106205266315633-0,00231428766295705i</v>
      </c>
      <c r="BG527" s="68">
        <f t="shared" si="468"/>
        <v>-51.8816481399216</v>
      </c>
      <c r="BH527" s="31">
        <f t="shared" si="469"/>
        <v>-114.650923054297</v>
      </c>
      <c r="BI527" s="30" t="str">
        <f t="shared" si="476"/>
        <v>0,0676363994577289+0,00346274176472019i</v>
      </c>
      <c r="BJ527" s="68">
        <f t="shared" si="470"/>
        <v>-23.3850221052311</v>
      </c>
      <c r="BK527" s="31">
        <f t="shared" si="477"/>
        <v>2.93078019485361</v>
      </c>
      <c r="BL527" s="32">
        <f t="shared" si="471"/>
        <v>-51.8816481399216</v>
      </c>
      <c r="BM527" s="31">
        <f t="shared" si="472"/>
        <v>-114.650923054297</v>
      </c>
      <c r="BO527">
        <f t="shared" si="473"/>
        <v>0</v>
      </c>
      <c r="BP527">
        <f t="shared" si="474"/>
        <v>0</v>
      </c>
    </row>
    <row r="528" spans="14:68">
      <c r="N528" s="7">
        <v>10</v>
      </c>
      <c r="O528" s="18">
        <f t="shared" si="478"/>
        <v>1258925.41179417</v>
      </c>
      <c r="P528" s="86" t="str">
        <f t="shared" si="425"/>
        <v>163,636363636364</v>
      </c>
      <c r="Q528" s="4" t="str">
        <f t="shared" si="426"/>
        <v>1+48323,2857177086i</v>
      </c>
      <c r="R528" s="4">
        <f t="shared" si="437"/>
        <v>48323.2857280556</v>
      </c>
      <c r="S528" s="4">
        <f t="shared" si="438"/>
        <v>1.57077563283783</v>
      </c>
      <c r="T528" s="4" t="str">
        <f t="shared" si="427"/>
        <v>1+124,029766675452i</v>
      </c>
      <c r="U528" s="4">
        <f t="shared" si="439"/>
        <v>124.033797900278</v>
      </c>
      <c r="V528" s="4">
        <f t="shared" si="440"/>
        <v>1.5627339208157</v>
      </c>
      <c r="W528" t="str">
        <f t="shared" si="428"/>
        <v>1-118,650924753302i</v>
      </c>
      <c r="X528" s="4">
        <f t="shared" si="441"/>
        <v>118.655138720638</v>
      </c>
      <c r="Y528" s="4">
        <f t="shared" si="442"/>
        <v>-1.56236844200973</v>
      </c>
      <c r="Z528" t="str">
        <f t="shared" si="429"/>
        <v>-11,9379036119276+24,5776915560412i</v>
      </c>
      <c r="AA528" s="4">
        <f t="shared" si="443"/>
        <v>27.3235514688624</v>
      </c>
      <c r="AB528" s="4">
        <f t="shared" si="444"/>
        <v>2.02295571030521</v>
      </c>
      <c r="AC528" s="67" t="str">
        <f t="shared" si="445"/>
        <v>-1,64096067353079+0,796266187211647i</v>
      </c>
      <c r="AD528" s="68">
        <f t="shared" si="446"/>
        <v>5.22025618819036</v>
      </c>
      <c r="AE528" s="31">
        <f t="shared" si="447"/>
        <v>154.115301727106</v>
      </c>
      <c r="AF528" s="32" t="str">
        <f t="shared" si="448"/>
        <v>748,315388573934</v>
      </c>
      <c r="AG528" s="32" t="str">
        <f t="shared" si="430"/>
        <v>1+39374,5291033181i</v>
      </c>
      <c r="AH528" s="32">
        <f t="shared" si="449"/>
        <v>39374.5291160167</v>
      </c>
      <c r="AI528" s="32">
        <f t="shared" si="450"/>
        <v>1.57077092966577</v>
      </c>
      <c r="AJ528" s="32" t="str">
        <f t="shared" si="431"/>
        <v>1+124,029766675452i</v>
      </c>
      <c r="AK528" s="32">
        <f t="shared" si="451"/>
        <v>124.033797900278</v>
      </c>
      <c r="AL528" s="32">
        <f t="shared" si="452"/>
        <v>1.5627339208157</v>
      </c>
      <c r="AM528" s="32" t="str">
        <f t="shared" si="432"/>
        <v>1-21,1405290024168i</v>
      </c>
      <c r="AN528" s="32">
        <f t="shared" si="453"/>
        <v>21.1641670401182</v>
      </c>
      <c r="AO528" s="32">
        <f t="shared" si="454"/>
        <v>-1.52352905371787</v>
      </c>
      <c r="AP528" s="30" t="str">
        <f t="shared" si="455"/>
        <v>1,9566824771309-49,8512723700061i</v>
      </c>
      <c r="AQ528" s="32">
        <f t="shared" si="456"/>
        <v>33.960210514932</v>
      </c>
      <c r="AR528" s="31">
        <f t="shared" si="457"/>
        <v>-87.7522714306129</v>
      </c>
      <c r="AS528" t="str">
        <f t="shared" si="433"/>
        <v>-0,0000504684572142411</v>
      </c>
      <c r="AT528" t="str">
        <f t="shared" si="434"/>
        <v>1,77739085280447i</v>
      </c>
      <c r="AU528">
        <f t="shared" si="458"/>
        <v>1.77739085280447</v>
      </c>
      <c r="AV528">
        <f t="shared" si="459"/>
        <v>1.5707963267949</v>
      </c>
      <c r="AW528" t="str">
        <f t="shared" si="435"/>
        <v>1+90,9991516057813i</v>
      </c>
      <c r="AX528">
        <f t="shared" si="460"/>
        <v>91.0046459966301</v>
      </c>
      <c r="AY528">
        <f t="shared" si="461"/>
        <v>1.55980765567288</v>
      </c>
      <c r="AZ528" t="str">
        <f t="shared" si="436"/>
        <v>1+4350,53390762107i</v>
      </c>
      <c r="BA528">
        <f t="shared" si="462"/>
        <v>4350.53402254949</v>
      </c>
      <c r="BB528">
        <f t="shared" si="463"/>
        <v>1.5705664699535</v>
      </c>
      <c r="BC528" s="30" t="str">
        <f t="shared" si="464"/>
        <v>-0,0000146040101155268+0,00135734721770833i</v>
      </c>
      <c r="BD528" s="32">
        <f t="shared" si="465"/>
        <v>-57.3456781443346</v>
      </c>
      <c r="BE528" s="31">
        <f t="shared" si="466"/>
        <v>90.6164346508446</v>
      </c>
      <c r="BF528" s="30" t="str">
        <f t="shared" si="467"/>
        <v>-0,00105684508749152-0,0022389820840385i</v>
      </c>
      <c r="BG528" s="68">
        <f t="shared" si="468"/>
        <v>-52.1254219561443</v>
      </c>
      <c r="BH528" s="31">
        <f t="shared" si="469"/>
        <v>-115.268263622049</v>
      </c>
      <c r="BI528" s="30" t="str">
        <f t="shared" si="476"/>
        <v>0,067636910439959+0,00338392600223572i</v>
      </c>
      <c r="BJ528" s="68">
        <f t="shared" si="470"/>
        <v>-23.3854676294026</v>
      </c>
      <c r="BK528" s="31">
        <f t="shared" si="477"/>
        <v>2.86416322023172</v>
      </c>
      <c r="BL528" s="32">
        <f t="shared" si="471"/>
        <v>-52.1254219561443</v>
      </c>
      <c r="BM528" s="31">
        <f t="shared" si="472"/>
        <v>-115.268263622049</v>
      </c>
      <c r="BO528">
        <f t="shared" si="473"/>
        <v>0</v>
      </c>
      <c r="BP528">
        <f t="shared" si="474"/>
        <v>0</v>
      </c>
    </row>
    <row r="529" spans="14:68">
      <c r="N529" s="7">
        <v>11</v>
      </c>
      <c r="O529" s="18">
        <f t="shared" si="478"/>
        <v>1288249.55169314</v>
      </c>
      <c r="P529" s="86" t="str">
        <f t="shared" si="425"/>
        <v>163,636363636364</v>
      </c>
      <c r="Q529" s="4" t="str">
        <f t="shared" si="426"/>
        <v>1+49448,879638912i</v>
      </c>
      <c r="R529" s="4">
        <f t="shared" si="437"/>
        <v>49448.8796490235</v>
      </c>
      <c r="S529" s="4">
        <f t="shared" si="438"/>
        <v>1.5707761038898</v>
      </c>
      <c r="T529" s="4" t="str">
        <f t="shared" si="427"/>
        <v>1+126,918791073207i</v>
      </c>
      <c r="U529" s="4">
        <f t="shared" si="439"/>
        <v>126.922730539035</v>
      </c>
      <c r="V529" s="4">
        <f t="shared" si="440"/>
        <v>1.56291743589819</v>
      </c>
      <c r="W529" t="str">
        <f t="shared" si="428"/>
        <v>1-121,414659827686i</v>
      </c>
      <c r="X529" s="4">
        <f t="shared" si="441"/>
        <v>121.418777876705</v>
      </c>
      <c r="Y529" s="4">
        <f t="shared" si="442"/>
        <v>-1.56256027531257</v>
      </c>
      <c r="Z529" t="str">
        <f t="shared" si="429"/>
        <v>-12,5476482239803+25,1501795357349i</v>
      </c>
      <c r="AA529" s="4">
        <f t="shared" si="443"/>
        <v>28.106494029538</v>
      </c>
      <c r="AB529" s="4">
        <f t="shared" si="444"/>
        <v>2.03357066906562</v>
      </c>
      <c r="AC529" s="67" t="str">
        <f t="shared" si="445"/>
        <v>-1,62389556703295+0,809410712001405i</v>
      </c>
      <c r="AD529" s="68">
        <f t="shared" si="446"/>
        <v>5.17483903798957</v>
      </c>
      <c r="AE529" s="31">
        <f t="shared" si="447"/>
        <v>153.506605802221</v>
      </c>
      <c r="AF529" s="32" t="str">
        <f t="shared" si="448"/>
        <v>748,315388573934</v>
      </c>
      <c r="AG529" s="32" t="str">
        <f t="shared" si="430"/>
        <v>1+40291,6797057801i</v>
      </c>
      <c r="AH529" s="32">
        <f t="shared" si="449"/>
        <v>40291.6797181896</v>
      </c>
      <c r="AI529" s="32">
        <f t="shared" si="450"/>
        <v>1.57077150777501</v>
      </c>
      <c r="AJ529" s="32" t="str">
        <f t="shared" si="431"/>
        <v>1+126,918791073207i</v>
      </c>
      <c r="AK529" s="32">
        <f t="shared" si="451"/>
        <v>126.922730539035</v>
      </c>
      <c r="AL529" s="32">
        <f t="shared" si="452"/>
        <v>1.56291743589819</v>
      </c>
      <c r="AM529" s="32" t="str">
        <f t="shared" si="432"/>
        <v>1-21,6329551812812i</v>
      </c>
      <c r="AN529" s="32">
        <f t="shared" si="453"/>
        <v>21.6560557321808</v>
      </c>
      <c r="AO529" s="32">
        <f t="shared" si="454"/>
        <v>-1.52460344054733</v>
      </c>
      <c r="AP529" s="30" t="str">
        <f t="shared" si="455"/>
        <v>1,95668245546379-51,011584668393i</v>
      </c>
      <c r="AQ529" s="32">
        <f t="shared" si="456"/>
        <v>34.1597614065378</v>
      </c>
      <c r="AR529" s="31">
        <f t="shared" si="457"/>
        <v>-87.8033477450203</v>
      </c>
      <c r="AS529" t="str">
        <f t="shared" si="433"/>
        <v>-0,0000504684572142411</v>
      </c>
      <c r="AT529" t="str">
        <f t="shared" si="434"/>
        <v>1,81879160421873i</v>
      </c>
      <c r="AU529">
        <f t="shared" si="458"/>
        <v>1.81879160421873</v>
      </c>
      <c r="AV529">
        <f t="shared" si="459"/>
        <v>1.5707963267949</v>
      </c>
      <c r="AW529" t="str">
        <f t="shared" si="435"/>
        <v>1+93,1187941416903i</v>
      </c>
      <c r="AX529">
        <f t="shared" si="460"/>
        <v>93.1241634722293</v>
      </c>
      <c r="AY529">
        <f t="shared" si="461"/>
        <v>1.5600577689125</v>
      </c>
      <c r="AZ529" t="str">
        <f t="shared" si="436"/>
        <v>1+4451,87086034846i</v>
      </c>
      <c r="BA529">
        <f t="shared" si="462"/>
        <v>4451.87097266079</v>
      </c>
      <c r="BB529">
        <f t="shared" si="463"/>
        <v>1.57057170213382</v>
      </c>
      <c r="BC529" s="30" t="str">
        <f t="shared" si="464"/>
        <v>-0,0000139467971799146+0,00132645728069583i</v>
      </c>
      <c r="BD529" s="32">
        <f t="shared" si="465"/>
        <v>-57.5456545530088</v>
      </c>
      <c r="BE529" s="31">
        <f t="shared" si="466"/>
        <v>90.6024039996637</v>
      </c>
      <c r="BF529" s="30" t="str">
        <f t="shared" si="467"/>
        <v>-0,00105100058989269-0,00216531678501607i</v>
      </c>
      <c r="BG529" s="68">
        <f t="shared" si="468"/>
        <v>-52.3708155150192</v>
      </c>
      <c r="BH529" s="31">
        <f t="shared" si="469"/>
        <v>-115.890990198116</v>
      </c>
      <c r="BI529" s="30" t="str">
        <f t="shared" si="476"/>
        <v>0,0676373984298698+0,00330690391425586i</v>
      </c>
      <c r="BJ529" s="68">
        <f t="shared" si="470"/>
        <v>-23.385893146471</v>
      </c>
      <c r="BK529" s="31">
        <f t="shared" si="477"/>
        <v>2.79905625464337</v>
      </c>
      <c r="BL529" s="32">
        <f t="shared" si="471"/>
        <v>-52.3708155150192</v>
      </c>
      <c r="BM529" s="31">
        <f t="shared" si="472"/>
        <v>-115.890990198116</v>
      </c>
      <c r="BO529">
        <f t="shared" si="473"/>
        <v>0</v>
      </c>
      <c r="BP529">
        <f t="shared" si="474"/>
        <v>0</v>
      </c>
    </row>
    <row r="530" spans="14:68">
      <c r="N530" s="7">
        <v>12</v>
      </c>
      <c r="O530" s="18">
        <f t="shared" si="478"/>
        <v>1318256.73855641</v>
      </c>
      <c r="P530" s="86" t="str">
        <f t="shared" si="425"/>
        <v>163,636363636364</v>
      </c>
      <c r="Q530" s="4" t="str">
        <f t="shared" si="426"/>
        <v>1+50600,6920106329i</v>
      </c>
      <c r="R530" s="4">
        <f t="shared" si="437"/>
        <v>50600.6920205142</v>
      </c>
      <c r="S530" s="4">
        <f t="shared" si="438"/>
        <v>1.57077656421932</v>
      </c>
      <c r="T530" s="4" t="str">
        <f t="shared" si="427"/>
        <v>1+129,875109493958i</v>
      </c>
      <c r="U530" s="4">
        <f t="shared" si="439"/>
        <v>129.878959289284</v>
      </c>
      <c r="V530" s="4">
        <f t="shared" si="440"/>
        <v>1.56309677418022</v>
      </c>
      <c r="W530" t="str">
        <f t="shared" si="428"/>
        <v>1-124,242770561822i</v>
      </c>
      <c r="X530" s="4">
        <f t="shared" si="441"/>
        <v>124.246794875673</v>
      </c>
      <c r="Y530" s="4">
        <f t="shared" si="442"/>
        <v>-1.56274774254208</v>
      </c>
      <c r="Z530" t="str">
        <f t="shared" si="429"/>
        <v>-13,1861292142808+25,7360024735202i</v>
      </c>
      <c r="AA530" s="4">
        <f t="shared" si="443"/>
        <v>28.9173966147153</v>
      </c>
      <c r="AB530" s="4">
        <f t="shared" si="444"/>
        <v>2.04428392619928</v>
      </c>
      <c r="AC530" s="67" t="str">
        <f t="shared" si="445"/>
        <v>-1,606394060116+0,822306186359002i</v>
      </c>
      <c r="AD530" s="68">
        <f t="shared" si="446"/>
        <v>5.12776332669489</v>
      </c>
      <c r="AE530" s="31">
        <f t="shared" si="447"/>
        <v>152.892289254303</v>
      </c>
      <c r="AF530" s="32" t="str">
        <f t="shared" si="448"/>
        <v>748,315388573934</v>
      </c>
      <c r="AG530" s="32" t="str">
        <f t="shared" si="430"/>
        <v>1+41230,1934901453i</v>
      </c>
      <c r="AH530" s="32">
        <f t="shared" si="449"/>
        <v>41230.1935022723</v>
      </c>
      <c r="AI530" s="32">
        <f t="shared" si="450"/>
        <v>1.57077207272488</v>
      </c>
      <c r="AJ530" s="32" t="str">
        <f t="shared" si="431"/>
        <v>1+129,875109493958i</v>
      </c>
      <c r="AK530" s="32">
        <f t="shared" si="451"/>
        <v>129.878959289284</v>
      </c>
      <c r="AL530" s="32">
        <f t="shared" si="452"/>
        <v>1.56309677418022</v>
      </c>
      <c r="AM530" s="32" t="str">
        <f t="shared" si="432"/>
        <v>1-22,1368514393286i</v>
      </c>
      <c r="AN530" s="32">
        <f t="shared" si="453"/>
        <v>22.1594266994186</v>
      </c>
      <c r="AO530" s="32">
        <f t="shared" si="454"/>
        <v>-1.52565347447638</v>
      </c>
      <c r="AP530" s="30" t="str">
        <f t="shared" si="455"/>
        <v>1,95668243477187-52,1989439841892i</v>
      </c>
      <c r="AQ530" s="32">
        <f t="shared" si="456"/>
        <v>34.3593324703763</v>
      </c>
      <c r="AR530" s="31">
        <f t="shared" si="457"/>
        <v>-87.853267300078</v>
      </c>
      <c r="AS530" t="str">
        <f t="shared" si="433"/>
        <v>-0,0000504684572142411</v>
      </c>
      <c r="AT530" t="str">
        <f t="shared" si="434"/>
        <v>1,86115670301609i</v>
      </c>
      <c r="AU530">
        <f t="shared" si="458"/>
        <v>1.86115670301609</v>
      </c>
      <c r="AV530">
        <f t="shared" si="459"/>
        <v>1.5707963267949</v>
      </c>
      <c r="AW530" t="str">
        <f t="shared" si="435"/>
        <v>1+95,2878094948255i</v>
      </c>
      <c r="AX530">
        <f t="shared" si="460"/>
        <v>95.2930566112881</v>
      </c>
      <c r="AY530">
        <f t="shared" si="461"/>
        <v>1.56030219017801</v>
      </c>
      <c r="AZ530" t="str">
        <f t="shared" si="436"/>
        <v>1+4555,56825393346i</v>
      </c>
      <c r="BA530">
        <f t="shared" si="462"/>
        <v>4555.56836368925</v>
      </c>
      <c r="BB530">
        <f t="shared" si="463"/>
        <v>1.57057681521518</v>
      </c>
      <c r="BC530" s="30" t="str">
        <f t="shared" si="464"/>
        <v>-0,0000133191570307043+0,00129627001348707i</v>
      </c>
      <c r="BD530" s="32">
        <f t="shared" si="465"/>
        <v>-57.7456320233477</v>
      </c>
      <c r="BE530" s="31">
        <f t="shared" si="466"/>
        <v>90.5886926507092</v>
      </c>
      <c r="BF530" s="30" t="str">
        <f t="shared" si="467"/>
        <v>-0,00104453503654221-0,00209327287519555i</v>
      </c>
      <c r="BG530" s="68">
        <f t="shared" si="468"/>
        <v>-52.6178686966529</v>
      </c>
      <c r="BH530" s="31">
        <f t="shared" si="469"/>
        <v>-116.519018094988</v>
      </c>
      <c r="BI530" s="30" t="str">
        <f t="shared" si="476"/>
        <v>0,0676378644617878+0,003231634697874i</v>
      </c>
      <c r="BJ530" s="68">
        <f t="shared" si="470"/>
        <v>-23.3862995529715</v>
      </c>
      <c r="BK530" s="31">
        <f t="shared" si="477"/>
        <v>2.73542535063128</v>
      </c>
      <c r="BL530" s="32">
        <f t="shared" si="471"/>
        <v>-52.6178686966529</v>
      </c>
      <c r="BM530" s="31">
        <f t="shared" si="472"/>
        <v>-116.519018094988</v>
      </c>
      <c r="BO530">
        <f t="shared" si="473"/>
        <v>0</v>
      </c>
      <c r="BP530">
        <f t="shared" si="474"/>
        <v>0</v>
      </c>
    </row>
    <row r="531" spans="14:68">
      <c r="N531" s="7">
        <v>13</v>
      </c>
      <c r="O531" s="18">
        <f t="shared" si="478"/>
        <v>1348962.88259166</v>
      </c>
      <c r="P531" s="86" t="str">
        <f t="shared" ref="P531:P560" si="479">COMPLEX(Adc,0)</f>
        <v>163,636363636364</v>
      </c>
      <c r="Q531" s="4" t="str">
        <f t="shared" ref="Q531:Q560" si="480">IMSUM(COMPLEX(1,0),IMDIV(COMPLEX(0,2*PI()*O531),COMPLEX(wp_lf,0)))</f>
        <v>1+51779,3335390376i</v>
      </c>
      <c r="R531" s="4">
        <f t="shared" si="437"/>
        <v>51779.333548694</v>
      </c>
      <c r="S531" s="4">
        <f t="shared" si="438"/>
        <v>1.57077701407047</v>
      </c>
      <c r="T531" s="4" t="str">
        <f t="shared" ref="T531:T560" si="481">IMSUM(COMPLEX(1,0),IMDIV(COMPLEX(0,2*PI()*O531),COMPLEX(wz_esr,0)))</f>
        <v>1+132,900289416863i</v>
      </c>
      <c r="U531" s="4">
        <f t="shared" si="439"/>
        <v>132.904051582658</v>
      </c>
      <c r="V531" s="4">
        <f t="shared" si="440"/>
        <v>1.56327203070315</v>
      </c>
      <c r="W531" t="str">
        <f t="shared" ref="W531:W560" si="482">IMSUB(COMPLEX(1,0),IMDIV(COMPLEX(0,2*PI()*O531),COMPLEX(wz_rhp,0)))</f>
        <v>1-127,136756457458i</v>
      </c>
      <c r="X531" s="4">
        <f t="shared" si="441"/>
        <v>127.140689169608</v>
      </c>
      <c r="Y531" s="4">
        <f t="shared" si="442"/>
        <v>-1.56293094304312</v>
      </c>
      <c r="Z531" t="str">
        <f t="shared" ref="Z531:Z560" si="483">IMSUM(COMPLEX(1,0),IMDIV(COMPLEX(0,2*PI()*O531),COMPLEX(Q*(wsl/2),0)),IMDIV(IMPOWER(COMPLEX(0,2*PI()*O531),2),IMPOWER(COMPLEX(wsl/2,0),2)))</f>
        <v>-13,8547008866123+26,3354709804735i</v>
      </c>
      <c r="AA531" s="4">
        <f t="shared" si="443"/>
        <v>29.7575161668587</v>
      </c>
      <c r="AB531" s="4">
        <f t="shared" si="444"/>
        <v>2.05509364983286</v>
      </c>
      <c r="AC531" s="67" t="str">
        <f t="shared" si="445"/>
        <v>-1,58845964290879+0,834934284734047i</v>
      </c>
      <c r="AD531" s="68">
        <f t="shared" si="446"/>
        <v>5.07898934440933</v>
      </c>
      <c r="AE531" s="31">
        <f t="shared" si="447"/>
        <v>152.272456781405</v>
      </c>
      <c r="AF531" s="32" t="str">
        <f t="shared" si="448"/>
        <v>748,315388573934</v>
      </c>
      <c r="AG531" s="32" t="str">
        <f t="shared" ref="AG531:AG560" si="484">IMSUM(COMPLEX(1,0),IMDIV(COMPLEX(0,2*PI()*O531),COMPLEX(wp_lf_DCM,0)))</f>
        <v>1+42190,5680688454i</v>
      </c>
      <c r="AH531" s="32">
        <f t="shared" si="449"/>
        <v>42190.5680806964</v>
      </c>
      <c r="AI531" s="32">
        <f t="shared" si="450"/>
        <v>1.57077262481491</v>
      </c>
      <c r="AJ531" s="32" t="str">
        <f t="shared" ref="AJ531:AJ560" si="485">IMSUM(COMPLEX(1,0),IMDIV(COMPLEX(0,2*PI()*O531),COMPLEX(wz1_dcm,0)))</f>
        <v>1+132,900289416863i</v>
      </c>
      <c r="AK531" s="32">
        <f t="shared" si="451"/>
        <v>132.904051582658</v>
      </c>
      <c r="AL531" s="32">
        <f t="shared" si="452"/>
        <v>1.56327203070315</v>
      </c>
      <c r="AM531" s="32" t="str">
        <f t="shared" ref="AM531:AM560" si="486">IMSUB(COMPLEX(1,0),IMDIV(COMPLEX(0,2*PI()*O531),COMPLEX(wz2_dcm,0)))</f>
        <v>1-22,6524849490251i</v>
      </c>
      <c r="AN531" s="32">
        <f t="shared" si="453"/>
        <v>22.6745468392603</v>
      </c>
      <c r="AO531" s="32">
        <f t="shared" si="454"/>
        <v>-1.52667970297975</v>
      </c>
      <c r="AP531" s="30" t="str">
        <f t="shared" si="455"/>
        <v>1,95668241501123-53,4139798710204i</v>
      </c>
      <c r="AQ531" s="32">
        <f t="shared" si="456"/>
        <v>34.5589228021455</v>
      </c>
      <c r="AR531" s="31">
        <f t="shared" si="457"/>
        <v>-87.9020560354704</v>
      </c>
      <c r="AS531" t="str">
        <f t="shared" ref="AS531:AS560" si="487">COMPLEX(Adc_ea,0)</f>
        <v>-0,0000504684572142411</v>
      </c>
      <c r="AT531" t="str">
        <f t="shared" ref="AT531:AT560" si="488">COMPLEX(0,2*PI()*O531*wp0_ea)</f>
        <v>1,90450861173272i</v>
      </c>
      <c r="AU531">
        <f t="shared" si="458"/>
        <v>1.90450861173272</v>
      </c>
      <c r="AV531">
        <f t="shared" si="459"/>
        <v>1.5707963267949</v>
      </c>
      <c r="AW531" t="str">
        <f t="shared" ref="AW531:AW560" si="489">IMSUM(COMPLEX(1,0),IMDIV(COMPLEX(0,2*PI()*O531),COMPLEX(wp1_ea,0)))</f>
        <v>1+97,5073477058387i</v>
      </c>
      <c r="AX531">
        <f t="shared" si="460"/>
        <v>97.5124753897024</v>
      </c>
      <c r="AY531">
        <f t="shared" si="461"/>
        <v>1.56054104894791</v>
      </c>
      <c r="AZ531" t="str">
        <f t="shared" ref="AZ531:AZ560" si="490">IMSUM(COMPLEX(1,0),IMDIV(COMPLEX(0,2*PI()*O531),COMPLEX(wz_ea,0)))</f>
        <v>1+4661,68107010679i</v>
      </c>
      <c r="BA531">
        <f t="shared" si="462"/>
        <v>4661.68117736423</v>
      </c>
      <c r="BB531">
        <f t="shared" si="463"/>
        <v>1.57058181190861</v>
      </c>
      <c r="BC531" s="30" t="str">
        <f t="shared" si="464"/>
        <v>-0,0000127197592598955+0,00126676945279464i</v>
      </c>
      <c r="BD531" s="32">
        <f t="shared" si="465"/>
        <v>-57.9456105075793</v>
      </c>
      <c r="BE531" s="31">
        <f t="shared" si="466"/>
        <v>90.5752933407395</v>
      </c>
      <c r="BF531" s="30" t="str">
        <f t="shared" si="467"/>
        <v>-0,00103746442274017-0,00202283231573359i</v>
      </c>
      <c r="BG531" s="68">
        <f t="shared" si="468"/>
        <v>-52.86662116317</v>
      </c>
      <c r="BH531" s="31">
        <f t="shared" si="469"/>
        <v>-117.152249877855</v>
      </c>
      <c r="BI531" s="30" t="str">
        <f t="shared" si="476"/>
        <v>0,0676383095235294+0,00315807847722895i</v>
      </c>
      <c r="BJ531" s="68">
        <f t="shared" si="470"/>
        <v>-23.3866877054338</v>
      </c>
      <c r="BK531" s="31">
        <f t="shared" si="477"/>
        <v>2.67323730526907</v>
      </c>
      <c r="BL531" s="32">
        <f t="shared" si="471"/>
        <v>-52.86662116317</v>
      </c>
      <c r="BM531" s="31">
        <f t="shared" si="472"/>
        <v>-117.152249877855</v>
      </c>
      <c r="BO531">
        <f t="shared" si="473"/>
        <v>0</v>
      </c>
      <c r="BP531">
        <f t="shared" si="474"/>
        <v>0</v>
      </c>
    </row>
    <row r="532" spans="14:68">
      <c r="N532" s="7">
        <v>14</v>
      </c>
      <c r="O532" s="18">
        <f t="shared" si="478"/>
        <v>1380384.26460288</v>
      </c>
      <c r="P532" s="86" t="str">
        <f t="shared" si="479"/>
        <v>163,636363636364</v>
      </c>
      <c r="Q532" s="4" t="str">
        <f t="shared" si="480"/>
        <v>1+52985,4291554645i</v>
      </c>
      <c r="R532" s="4">
        <f t="shared" ref="R532:R560" si="491">IMABS(Q532)</f>
        <v>52985.4291649011</v>
      </c>
      <c r="S532" s="4">
        <f t="shared" ref="S532:S560" si="492">IMARGUMENT(Q532)</f>
        <v>1.57077745368174</v>
      </c>
      <c r="T532" s="4" t="str">
        <f t="shared" si="481"/>
        <v>1+135,995934832359i</v>
      </c>
      <c r="U532" s="4">
        <f t="shared" ref="U532:U560" si="493">IMABS(T532)</f>
        <v>135.999611363148</v>
      </c>
      <c r="V532" s="4">
        <f t="shared" ref="V532:V560" si="494">IMARGUMENT(T532)</f>
        <v>1.56344329834721</v>
      </c>
      <c r="W532" t="str">
        <f t="shared" si="482"/>
        <v>1-130,098151944221i</v>
      </c>
      <c r="X532" s="4">
        <f t="shared" ref="X532:X560" si="495">IMABS(W532)</f>
        <v>130.101995139589</v>
      </c>
      <c r="Y532" s="4">
        <f t="shared" ref="Y532:Y560" si="496">IMARGUMENT(W532)</f>
        <v>-1.56310997390181</v>
      </c>
      <c r="Z532" t="str">
        <f t="shared" si="483"/>
        <v>-14,5547813711285+26,9489029027314i</v>
      </c>
      <c r="AA532" s="4">
        <f t="shared" ref="AA532:AA560" si="497">IMABS(Z532)</f>
        <v>30.6281737689695</v>
      </c>
      <c r="AB532" s="4">
        <f t="shared" ref="AB532:AB560" si="498">IMARGUMENT(Z532)</f>
        <v>2.06599778638446</v>
      </c>
      <c r="AC532" s="67" t="str">
        <f t="shared" ref="AC532:AC560" si="499">(IMDIV(IMPRODUCT(P532,T532,W532),IMPRODUCT(Q532,Z532)))</f>
        <v>-1,57009687092203+0,847276461538443i</v>
      </c>
      <c r="AD532" s="68">
        <f t="shared" ref="AD532:AD560" si="500">20*LOG(IMABS(AC532))</f>
        <v>5.02847770273603</v>
      </c>
      <c r="AE532" s="31">
        <f t="shared" ref="AE532:AE560" si="501">(180/PI())*IMARGUMENT(AC532)</f>
        <v>151.647225790459</v>
      </c>
      <c r="AF532" s="32" t="str">
        <f t="shared" ref="AF532:AF560" si="502">COMPLEX($B$68,0)</f>
        <v>748,315388573934</v>
      </c>
      <c r="AG532" s="32" t="str">
        <f t="shared" si="484"/>
        <v>1+43173,3126451933i</v>
      </c>
      <c r="AH532" s="32">
        <f t="shared" ref="AH532:AH560" si="503">IMABS(AG532)</f>
        <v>43173.3126567745</v>
      </c>
      <c r="AI532" s="32">
        <f t="shared" ref="AI532:AI560" si="504">IMARGUMENT(AG532)</f>
        <v>1.57077316433785</v>
      </c>
      <c r="AJ532" s="32" t="str">
        <f t="shared" si="485"/>
        <v>1+135,995934832359i</v>
      </c>
      <c r="AK532" s="32">
        <f t="shared" ref="AK532:AK560" si="505">IMABS(AJ532)</f>
        <v>135.999611363148</v>
      </c>
      <c r="AL532" s="32">
        <f t="shared" ref="AL532:AL560" si="506">IMARGUMENT(AJ532)</f>
        <v>1.56344329834721</v>
      </c>
      <c r="AM532" s="32" t="str">
        <f t="shared" si="486"/>
        <v>1-23,1801291060825i</v>
      </c>
      <c r="AN532" s="32">
        <f t="shared" ref="AN532:AN560" si="507">IMABS(AM532)</f>
        <v>23.2016892784696</v>
      </c>
      <c r="AO532" s="32">
        <f t="shared" ref="AO532:AO560" si="508">IMARGUMENT(AM532)</f>
        <v>-1.52768266152631</v>
      </c>
      <c r="AP532" s="30" t="str">
        <f t="shared" ref="AP532:AP560" si="509">(IMDIV(IMPRODUCT(AF532,AJ532,AM532),IMPRODUCT(AG532)))</f>
        <v>1,95668239613997-54,6573365569965i</v>
      </c>
      <c r="AQ532" s="32">
        <f t="shared" ref="AQ532:AQ560" si="510">20*LOG(IMABS(AP532))</f>
        <v>34.7585315379282</v>
      </c>
      <c r="AR532" s="31">
        <f t="shared" ref="AR532:AR560" si="511">(180/PI())*IMARGUMENT(AP532)</f>
        <v>-87.9497393264305</v>
      </c>
      <c r="AS532" t="str">
        <f t="shared" si="487"/>
        <v>-0,0000504684572142411</v>
      </c>
      <c r="AT532" t="str">
        <f t="shared" si="488"/>
        <v>1,94887031612443i</v>
      </c>
      <c r="AU532">
        <f t="shared" ref="AU532:AU560" si="512">IMABS(AT532)</f>
        <v>1.94887031612443</v>
      </c>
      <c r="AV532">
        <f t="shared" ref="AV532:AV560" si="513">IMARGUMENT(AT532)</f>
        <v>1.5707963267949</v>
      </c>
      <c r="AW532" t="str">
        <f t="shared" si="489"/>
        <v>1+99,7785856032667i</v>
      </c>
      <c r="AX532">
        <f t="shared" ref="AX532:AX560" si="514">IMABS(AW532)</f>
        <v>99.7835965727254</v>
      </c>
      <c r="AY532">
        <f t="shared" ref="AY532:AY560" si="515">IMARGUMENT(AW532)</f>
        <v>1.5607744717592</v>
      </c>
      <c r="AZ532" t="str">
        <f t="shared" si="490"/>
        <v>1+4770,26557128809i</v>
      </c>
      <c r="BA532">
        <f t="shared" ref="BA532:BA560" si="516">IMABS(AZ532)</f>
        <v>4770.26567610406</v>
      </c>
      <c r="BB532">
        <f t="shared" ref="BB532:BB560" si="517">IMARGUMENT(AZ532)</f>
        <v>1.57058669486342</v>
      </c>
      <c r="BC532" s="30" t="str">
        <f t="shared" ref="BC532:BC560" si="518">IMPRODUCT(AS532,IMDIV(AZ532,IMPRODUCT(AT532,AW532)))</f>
        <v>-0,0000121473332861063+0,00123793999660295i</v>
      </c>
      <c r="BD532" s="32">
        <f t="shared" ref="BD532:BD560" si="519">20*LOG(IMABS(BC532))</f>
        <v>-58.1455899600803</v>
      </c>
      <c r="BE532" s="31">
        <f t="shared" ref="BE532:BE560" si="520">(180/PI())*IMARGUMENT(BC532)</f>
        <v>90.5621989715129</v>
      </c>
      <c r="BF532" s="30" t="str">
        <f t="shared" ref="BF532:BF560" si="521">IMPRODUCT(AC532,BC532)</f>
        <v>-0,0010298049299361-0,0019539778646193i</v>
      </c>
      <c r="BG532" s="68">
        <f t="shared" ref="BG532:BG560" si="522">20*LOG(IMABS(BF532))</f>
        <v>-53.1171122573443</v>
      </c>
      <c r="BH532" s="31">
        <f t="shared" ref="BH532:BH560" si="523">(180/PI())*IMARGUMENT(BF532)</f>
        <v>-117.790575238028</v>
      </c>
      <c r="BI532" s="30" t="str">
        <f t="shared" si="476"/>
        <v>0,0676387345584936+0,00308619628251928i</v>
      </c>
      <c r="BJ532" s="68">
        <f t="shared" ref="BJ532:BJ560" si="524">20*LOG(IMABS(BI532))</f>
        <v>-23.3870584221521</v>
      </c>
      <c r="BK532" s="31">
        <f t="shared" si="477"/>
        <v>2.61245964508241</v>
      </c>
      <c r="BL532" s="32">
        <f t="shared" ref="BL532:BL560" si="525">IF($B$31=0,BJ532,BG532)</f>
        <v>-53.1171122573443</v>
      </c>
      <c r="BM532" s="31">
        <f t="shared" ref="BM532:BM560" si="526">IF($B$31=0,BK532,BH532)</f>
        <v>-117.790575238028</v>
      </c>
      <c r="BO532">
        <f t="shared" ref="BO532:BO559" si="527">SUM((BL533&lt;0)*(BL532&gt;0))*O532</f>
        <v>0</v>
      </c>
      <c r="BP532">
        <f t="shared" ref="BP532:BP559" si="528">IF(BO532&gt;0,BM532,0)</f>
        <v>0</v>
      </c>
    </row>
    <row r="533" spans="14:68">
      <c r="N533" s="7">
        <v>15</v>
      </c>
      <c r="O533" s="18">
        <f t="shared" si="478"/>
        <v>1412537.54462276</v>
      </c>
      <c r="P533" s="86" t="str">
        <f t="shared" si="479"/>
        <v>163,636363636364</v>
      </c>
      <c r="Q533" s="4" t="str">
        <f t="shared" si="480"/>
        <v>1+54219,6183477756i</v>
      </c>
      <c r="R533" s="4">
        <f t="shared" si="491"/>
        <v>54219.6183569974</v>
      </c>
      <c r="S533" s="4">
        <f t="shared" si="492"/>
        <v>1.57077788328625</v>
      </c>
      <c r="T533" s="4" t="str">
        <f t="shared" si="481"/>
        <v>1+139,163687092624i</v>
      </c>
      <c r="U533" s="4">
        <f t="shared" si="493"/>
        <v>139.167279937541</v>
      </c>
      <c r="V533" s="4">
        <f t="shared" si="494"/>
        <v>1.56361066788056</v>
      </c>
      <c r="W533" t="str">
        <f t="shared" si="482"/>
        <v>1-133,128527193199i</v>
      </c>
      <c r="X533" s="4">
        <f t="shared" si="495"/>
        <v>133.132282909257</v>
      </c>
      <c r="Y533" s="4">
        <f t="shared" si="496"/>
        <v>-1.56328492999674</v>
      </c>
      <c r="Z533" t="str">
        <f t="shared" si="483"/>
        <v>-15,2878556323992+27,5766234900198i</v>
      </c>
      <c r="AA533" s="4">
        <f t="shared" si="497"/>
        <v>31.5307578872978</v>
      </c>
      <c r="AB533" s="4">
        <f t="shared" si="498"/>
        <v>2.07699405898608</v>
      </c>
      <c r="AC533" s="67" t="str">
        <f t="shared" si="499"/>
        <v>-1,55131140144159+0,859314018749946i</v>
      </c>
      <c r="AD533" s="68">
        <f t="shared" si="500"/>
        <v>4.97618943955223</v>
      </c>
      <c r="AE533" s="31">
        <f t="shared" si="501"/>
        <v>151.016726487527</v>
      </c>
      <c r="AF533" s="32" t="str">
        <f t="shared" si="502"/>
        <v>748,315388573934</v>
      </c>
      <c r="AG533" s="32" t="str">
        <f t="shared" si="484"/>
        <v>1+44178,9482833727i</v>
      </c>
      <c r="AH533" s="32">
        <f t="shared" si="503"/>
        <v>44178.9482946903</v>
      </c>
      <c r="AI533" s="32">
        <f t="shared" si="504"/>
        <v>1.57077369157974</v>
      </c>
      <c r="AJ533" s="32" t="str">
        <f t="shared" si="485"/>
        <v>1+139,163687092624i</v>
      </c>
      <c r="AK533" s="32">
        <f t="shared" si="505"/>
        <v>139.167279937541</v>
      </c>
      <c r="AL533" s="32">
        <f t="shared" si="506"/>
        <v>1.56361066788056</v>
      </c>
      <c r="AM533" s="32" t="str">
        <f t="shared" si="486"/>
        <v>1-23,7200636744175i</v>
      </c>
      <c r="AN533" s="32">
        <f t="shared" si="507"/>
        <v>23.7411335179772</v>
      </c>
      <c r="AO533" s="32">
        <f t="shared" si="508"/>
        <v>-1.52866287382216</v>
      </c>
      <c r="AP533" s="30" t="str">
        <f t="shared" si="509"/>
        <v>1,95668237811806-55,929673286291i</v>
      </c>
      <c r="AQ533" s="32">
        <f t="shared" si="510"/>
        <v>34.9581578524019</v>
      </c>
      <c r="AR533" s="31">
        <f t="shared" si="511"/>
        <v>-87.9963419948643</v>
      </c>
      <c r="AS533" t="str">
        <f t="shared" si="487"/>
        <v>-0,0000504684572142411</v>
      </c>
      <c r="AT533" t="str">
        <f t="shared" si="488"/>
        <v>1,99426533735412i</v>
      </c>
      <c r="AU533">
        <f t="shared" si="512"/>
        <v>1.99426533735412</v>
      </c>
      <c r="AV533">
        <f t="shared" si="513"/>
        <v>1.5707963267949</v>
      </c>
      <c r="AW533" t="str">
        <f t="shared" si="489"/>
        <v>1+102,102727427509i</v>
      </c>
      <c r="AX533">
        <f t="shared" si="514"/>
        <v>102.107624338911</v>
      </c>
      <c r="AY533">
        <f t="shared" si="515"/>
        <v>1.56100258227394</v>
      </c>
      <c r="AZ533" t="str">
        <f t="shared" si="490"/>
        <v>1+4881,37933041729i</v>
      </c>
      <c r="BA533">
        <f t="shared" si="516"/>
        <v>4881.37943284735</v>
      </c>
      <c r="BB533">
        <f t="shared" si="517"/>
        <v>1.57059146666862</v>
      </c>
      <c r="BC533" s="30" t="str">
        <f t="shared" si="518"/>
        <v>-0,0000116006656664699+0,0012097663960845i</v>
      </c>
      <c r="BD533" s="32">
        <f t="shared" si="519"/>
        <v>-58.3455703372804</v>
      </c>
      <c r="BE533" s="31">
        <f t="shared" si="520"/>
        <v>90.5494026060545</v>
      </c>
      <c r="BF533" s="30" t="str">
        <f t="shared" si="521"/>
        <v>-0,0010215729786553-0,00188669301796082i</v>
      </c>
      <c r="BG533" s="68">
        <f t="shared" si="522"/>
        <v>-53.3693808977281</v>
      </c>
      <c r="BH533" s="31">
        <f t="shared" si="523"/>
        <v>-118.433870906419</v>
      </c>
      <c r="BI533" s="30" t="str">
        <f t="shared" si="476"/>
        <v>0,0676391404676558+0,00301595002948709i</v>
      </c>
      <c r="BJ533" s="68">
        <f t="shared" si="524"/>
        <v>-23.3874124848785</v>
      </c>
      <c r="BK533" s="31">
        <f t="shared" si="477"/>
        <v>2.55306061119021</v>
      </c>
      <c r="BL533" s="32">
        <f t="shared" si="525"/>
        <v>-53.3693808977281</v>
      </c>
      <c r="BM533" s="31">
        <f t="shared" si="526"/>
        <v>-118.433870906419</v>
      </c>
      <c r="BO533">
        <f t="shared" si="527"/>
        <v>0</v>
      </c>
      <c r="BP533">
        <f t="shared" si="528"/>
        <v>0</v>
      </c>
    </row>
    <row r="534" spans="14:68">
      <c r="N534" s="7">
        <v>16</v>
      </c>
      <c r="O534" s="18">
        <f t="shared" si="478"/>
        <v>1445439.77074593</v>
      </c>
      <c r="P534" s="86" t="str">
        <f t="shared" si="479"/>
        <v>163,636363636364</v>
      </c>
      <c r="Q534" s="4" t="str">
        <f t="shared" si="480"/>
        <v>1+55482,5554994156i</v>
      </c>
      <c r="R534" s="4">
        <f t="shared" si="491"/>
        <v>55482.5555084274</v>
      </c>
      <c r="S534" s="4">
        <f t="shared" si="492"/>
        <v>1.57077830311176</v>
      </c>
      <c r="T534" s="4" t="str">
        <f t="shared" si="481"/>
        <v>1+142,405225781833i</v>
      </c>
      <c r="U534" s="4">
        <f t="shared" si="493"/>
        <v>142.408736845654</v>
      </c>
      <c r="V534" s="4">
        <f t="shared" si="494"/>
        <v>1.56377422800721</v>
      </c>
      <c r="W534" t="str">
        <f t="shared" si="482"/>
        <v>1-136,229488949458i</v>
      </c>
      <c r="X534" s="4">
        <f t="shared" si="495"/>
        <v>136.233159177311</v>
      </c>
      <c r="Y534" s="4">
        <f t="shared" si="496"/>
        <v>-1.5634559040491</v>
      </c>
      <c r="Z534" t="str">
        <f t="shared" si="483"/>
        <v>-16,0554786192168+28,218965568102i</v>
      </c>
      <c r="AA534" s="4">
        <f t="shared" si="497"/>
        <v>32.466727759752</v>
      </c>
      <c r="AB534" s="4">
        <f t="shared" si="498"/>
        <v>2.08807996665744</v>
      </c>
      <c r="AC534" s="67" t="str">
        <f t="shared" si="499"/>
        <v>-1,53211002536187+0,871028178063459i</v>
      </c>
      <c r="AD534" s="68">
        <f t="shared" si="500"/>
        <v>4.9220861268939</v>
      </c>
      <c r="AE534" s="31">
        <f t="shared" si="501"/>
        <v>150.381101925004</v>
      </c>
      <c r="AF534" s="32" t="str">
        <f t="shared" si="502"/>
        <v>748,315388573934</v>
      </c>
      <c r="AG534" s="32" t="str">
        <f t="shared" si="484"/>
        <v>1+45208,008184709i</v>
      </c>
      <c r="AH534" s="32">
        <f t="shared" si="503"/>
        <v>45208.008195769</v>
      </c>
      <c r="AI534" s="32">
        <f t="shared" si="504"/>
        <v>1.57077420682014</v>
      </c>
      <c r="AJ534" s="32" t="str">
        <f t="shared" si="485"/>
        <v>1+142,405225781833i</v>
      </c>
      <c r="AK534" s="32">
        <f t="shared" si="505"/>
        <v>142.408736845654</v>
      </c>
      <c r="AL534" s="32">
        <f t="shared" si="506"/>
        <v>1.56377422800721</v>
      </c>
      <c r="AM534" s="32" t="str">
        <f t="shared" si="486"/>
        <v>1-24,2725749344847i</v>
      </c>
      <c r="AN534" s="32">
        <f t="shared" si="507"/>
        <v>24.2931655810883</v>
      </c>
      <c r="AO534" s="32">
        <f t="shared" si="508"/>
        <v>-1.52962085205009</v>
      </c>
      <c r="AP534" s="30" t="str">
        <f t="shared" si="509"/>
        <v>1,95668236090726-57,2316646686781i</v>
      </c>
      <c r="AQ534" s="32">
        <f t="shared" si="510"/>
        <v>35.1578009571267</v>
      </c>
      <c r="AR534" s="31">
        <f t="shared" si="511"/>
        <v>-88.0418883203368</v>
      </c>
      <c r="AS534" t="str">
        <f t="shared" si="487"/>
        <v>-0,0000504684572142411</v>
      </c>
      <c r="AT534" t="str">
        <f t="shared" si="488"/>
        <v>2,04071774446288i</v>
      </c>
      <c r="AU534">
        <f t="shared" si="512"/>
        <v>2.04071774446288</v>
      </c>
      <c r="AV534">
        <f t="shared" si="513"/>
        <v>1.5707963267949</v>
      </c>
      <c r="AW534" t="str">
        <f t="shared" si="489"/>
        <v>1+104,481005469322i</v>
      </c>
      <c r="AX534">
        <f t="shared" si="514"/>
        <v>104.485790918577</v>
      </c>
      <c r="AY534">
        <f t="shared" si="515"/>
        <v>1.56122550134433</v>
      </c>
      <c r="AZ534" t="str">
        <f t="shared" si="490"/>
        <v>1+4995,08126148012i</v>
      </c>
      <c r="BA534">
        <f t="shared" si="516"/>
        <v>4995.08136157859</v>
      </c>
      <c r="BB534">
        <f t="shared" si="517"/>
        <v>1.57059612985429</v>
      </c>
      <c r="BC534" s="30" t="str">
        <f t="shared" si="518"/>
        <v>-0,0000110785975291194+0,00118223374769093i</v>
      </c>
      <c r="BD534" s="32">
        <f t="shared" si="519"/>
        <v>-58.545551597569</v>
      </c>
      <c r="BE534" s="31">
        <f t="shared" si="520"/>
        <v>90.5368974650058</v>
      </c>
      <c r="BF534" s="30" t="str">
        <f t="shared" si="521"/>
        <v>-0,00101278527695505-0,0018209619477797i</v>
      </c>
      <c r="BG534" s="68">
        <f t="shared" si="522"/>
        <v>-53.6234654706751</v>
      </c>
      <c r="BH534" s="31">
        <f t="shared" si="523"/>
        <v>-119.08200060999</v>
      </c>
      <c r="BI534" s="30" t="str">
        <f t="shared" si="476"/>
        <v>0,0676395281114731+0,00294730249936193i</v>
      </c>
      <c r="BJ534" s="68">
        <f t="shared" si="524"/>
        <v>-23.3877506404423</v>
      </c>
      <c r="BK534" s="31">
        <f t="shared" si="477"/>
        <v>2.49500914466891</v>
      </c>
      <c r="BL534" s="32">
        <f t="shared" si="525"/>
        <v>-53.6234654706751</v>
      </c>
      <c r="BM534" s="31">
        <f t="shared" si="526"/>
        <v>-119.08200060999</v>
      </c>
      <c r="BO534">
        <f t="shared" si="527"/>
        <v>0</v>
      </c>
      <c r="BP534">
        <f t="shared" si="528"/>
        <v>0</v>
      </c>
    </row>
    <row r="535" spans="14:68">
      <c r="N535" s="7">
        <v>17</v>
      </c>
      <c r="O535" s="18">
        <f t="shared" si="478"/>
        <v>1479108.38816821</v>
      </c>
      <c r="P535" s="86" t="str">
        <f t="shared" si="479"/>
        <v>163,636363636364</v>
      </c>
      <c r="Q535" s="4" t="str">
        <f t="shared" si="480"/>
        <v>1+56774,91023638i</v>
      </c>
      <c r="R535" s="4">
        <f t="shared" si="491"/>
        <v>56774.9102451867</v>
      </c>
      <c r="S535" s="4">
        <f t="shared" si="492"/>
        <v>1.57077871338088</v>
      </c>
      <c r="T535" s="4" t="str">
        <f t="shared" si="481"/>
        <v>1+145,722269606709i</v>
      </c>
      <c r="U535" s="4">
        <f t="shared" si="493"/>
        <v>145.725700750864</v>
      </c>
      <c r="V535" s="4">
        <f t="shared" si="494"/>
        <v>1.5639340654139</v>
      </c>
      <c r="W535" t="str">
        <f t="shared" si="482"/>
        <v>1-139,402681383969i</v>
      </c>
      <c r="X535" s="4">
        <f t="shared" si="495"/>
        <v>139.406268069411</v>
      </c>
      <c r="Y535" s="4">
        <f t="shared" si="496"/>
        <v>-1.56362298667156</v>
      </c>
      <c r="Z535" t="str">
        <f t="shared" si="483"/>
        <v>-16,8592785628537+28,8762697152507i</v>
      </c>
      <c r="AA535" s="4">
        <f t="shared" si="497"/>
        <v>33.4376169355384</v>
      </c>
      <c r="AB535" s="4">
        <f t="shared" si="498"/>
        <v>2.09925278427902</v>
      </c>
      <c r="AC535" s="67" t="str">
        <f t="shared" si="499"/>
        <v>-1,51250069390519+0,88240015728646i</v>
      </c>
      <c r="AD535" s="68">
        <f t="shared" si="500"/>
        <v>4.86612998149727</v>
      </c>
      <c r="AE535" s="31">
        <f t="shared" si="501"/>
        <v>149.740508003043</v>
      </c>
      <c r="AF535" s="32" t="str">
        <f t="shared" si="502"/>
        <v>748,315388573934</v>
      </c>
      <c r="AG535" s="32" t="str">
        <f t="shared" si="484"/>
        <v>1+46261,0379703837i</v>
      </c>
      <c r="AH535" s="32">
        <f t="shared" si="503"/>
        <v>46261.0379811919</v>
      </c>
      <c r="AI535" s="32">
        <f t="shared" si="504"/>
        <v>1.57077471033224</v>
      </c>
      <c r="AJ535" s="32" t="str">
        <f t="shared" si="485"/>
        <v>1+145,722269606709i</v>
      </c>
      <c r="AK535" s="32">
        <f t="shared" si="505"/>
        <v>145.725700750864</v>
      </c>
      <c r="AL535" s="32">
        <f t="shared" si="506"/>
        <v>1.5639340654139</v>
      </c>
      <c r="AM535" s="32" t="str">
        <f t="shared" si="486"/>
        <v>1-24,8379558350677i</v>
      </c>
      <c r="AN535" s="32">
        <f t="shared" si="507"/>
        <v>24.8580781651513</v>
      </c>
      <c r="AO535" s="32">
        <f t="shared" si="508"/>
        <v>-1.53055709710559</v>
      </c>
      <c r="AP535" s="30" t="str">
        <f t="shared" si="509"/>
        <v>1,95668234447109-58,5640010372237i</v>
      </c>
      <c r="AQ535" s="32">
        <f t="shared" si="510"/>
        <v>35.357460098909</v>
      </c>
      <c r="AR535" s="31">
        <f t="shared" si="511"/>
        <v>-88.0864020509134</v>
      </c>
      <c r="AS535" t="str">
        <f t="shared" si="487"/>
        <v>-0,0000504684572142411</v>
      </c>
      <c r="AT535" t="str">
        <f t="shared" si="488"/>
        <v>2,08825216713185i</v>
      </c>
      <c r="AU535">
        <f t="shared" si="512"/>
        <v>2.08825216713185</v>
      </c>
      <c r="AV535">
        <f t="shared" si="513"/>
        <v>1.5707963267949</v>
      </c>
      <c r="AW535" t="str">
        <f t="shared" si="489"/>
        <v>1+106,914680723204i</v>
      </c>
      <c r="AX535">
        <f t="shared" si="514"/>
        <v>106.919357247154</v>
      </c>
      <c r="AY535">
        <f t="shared" si="515"/>
        <v>1.56144334707634</v>
      </c>
      <c r="AZ535" t="str">
        <f t="shared" si="490"/>
        <v>1+5111,43165074551i</v>
      </c>
      <c r="BA535">
        <f t="shared" si="516"/>
        <v>5111.43174856546</v>
      </c>
      <c r="BB535">
        <f t="shared" si="517"/>
        <v>1.57060068689289</v>
      </c>
      <c r="BC535" s="30" t="str">
        <f t="shared" si="518"/>
        <v>-0,0000105800221208622+0,00115532748541532i</v>
      </c>
      <c r="BD535" s="32">
        <f t="shared" si="519"/>
        <v>-58.7455337012081</v>
      </c>
      <c r="BE535" s="31">
        <f t="shared" si="520"/>
        <v>90.5246769230557</v>
      </c>
      <c r="BF535" s="30" t="str">
        <f t="shared" si="521"/>
        <v>-0,00100345886404851-0,00175676943656195i</v>
      </c>
      <c r="BG535" s="68">
        <f t="shared" si="522"/>
        <v>-53.8794037197108</v>
      </c>
      <c r="BH535" s="31">
        <f t="shared" si="523"/>
        <v>-119.734815073901</v>
      </c>
      <c r="BI535" s="30" t="str">
        <f t="shared" si="476"/>
        <v>0,0676398983117078+0,00288021731925436i</v>
      </c>
      <c r="BJ535" s="68">
        <f t="shared" si="524"/>
        <v>-23.3880736022991</v>
      </c>
      <c r="BK535" s="31">
        <f t="shared" si="477"/>
        <v>2.43827487214222</v>
      </c>
      <c r="BL535" s="32">
        <f t="shared" si="525"/>
        <v>-53.8794037197108</v>
      </c>
      <c r="BM535" s="31">
        <f t="shared" si="526"/>
        <v>-119.734815073901</v>
      </c>
      <c r="BO535">
        <f t="shared" si="527"/>
        <v>0</v>
      </c>
      <c r="BP535">
        <f t="shared" si="528"/>
        <v>0</v>
      </c>
    </row>
    <row r="536" spans="14:68">
      <c r="N536" s="7">
        <v>18</v>
      </c>
      <c r="O536" s="18">
        <f t="shared" si="478"/>
        <v>1513561.24843621</v>
      </c>
      <c r="P536" s="86" t="str">
        <f t="shared" si="479"/>
        <v>163,636363636364</v>
      </c>
      <c r="Q536" s="4" t="str">
        <f t="shared" si="480"/>
        <v>1+58097,3677822565i</v>
      </c>
      <c r="R536" s="4">
        <f t="shared" si="491"/>
        <v>58097.3677908627</v>
      </c>
      <c r="S536" s="4">
        <f t="shared" si="492"/>
        <v>1.57077911431113</v>
      </c>
      <c r="T536" s="4" t="str">
        <f t="shared" si="481"/>
        <v>1+149,116577307792i</v>
      </c>
      <c r="U536" s="4">
        <f t="shared" si="493"/>
        <v>149.119930351347</v>
      </c>
      <c r="V536" s="4">
        <f t="shared" si="494"/>
        <v>1.56409026481583</v>
      </c>
      <c r="W536" t="str">
        <f t="shared" si="482"/>
        <v>1-142,649786965362i</v>
      </c>
      <c r="X536" s="4">
        <f t="shared" si="495"/>
        <v>142.653292009905</v>
      </c>
      <c r="Y536" s="4">
        <f t="shared" si="496"/>
        <v>-1.56378626641623</v>
      </c>
      <c r="Z536" t="str">
        <f t="shared" si="483"/>
        <v>-17,7009604307575+29,548884442825i</v>
      </c>
      <c r="AA536" s="4">
        <f t="shared" si="497"/>
        <v>34.445036971771</v>
      </c>
      <c r="AB536" s="4">
        <f t="shared" si="498"/>
        <v>2.11050956340834</v>
      </c>
      <c r="AC536" s="67" t="str">
        <f t="shared" si="499"/>
        <v>-1,49249253968999+0,893411250605591i</v>
      </c>
      <c r="AD536" s="68">
        <f t="shared" si="500"/>
        <v>4.80828397749434</v>
      </c>
      <c r="AE536" s="31">
        <f t="shared" si="501"/>
        <v>149.095113422655</v>
      </c>
      <c r="AF536" s="32" t="str">
        <f t="shared" si="502"/>
        <v>748,315388573934</v>
      </c>
      <c r="AG536" s="32" t="str">
        <f t="shared" si="484"/>
        <v>1+47338,5959707275i</v>
      </c>
      <c r="AH536" s="32">
        <f t="shared" si="503"/>
        <v>47338.5959812897</v>
      </c>
      <c r="AI536" s="32">
        <f t="shared" si="504"/>
        <v>1.570775202383</v>
      </c>
      <c r="AJ536" s="32" t="str">
        <f t="shared" si="485"/>
        <v>1+149,116577307792i</v>
      </c>
      <c r="AK536" s="32">
        <f t="shared" si="505"/>
        <v>149.119930351347</v>
      </c>
      <c r="AL536" s="32">
        <f t="shared" si="506"/>
        <v>1.56409026481583</v>
      </c>
      <c r="AM536" s="32" t="str">
        <f t="shared" si="486"/>
        <v>1-25,4165061486036i</v>
      </c>
      <c r="AN536" s="32">
        <f t="shared" si="507"/>
        <v>25.4361707967612</v>
      </c>
      <c r="AO536" s="32">
        <f t="shared" si="508"/>
        <v>-1.53147209882905</v>
      </c>
      <c r="AP536" s="30" t="str">
        <f t="shared" si="509"/>
        <v>1,95668232877466-59,9273888143051i</v>
      </c>
      <c r="AQ536" s="32">
        <f t="shared" si="510"/>
        <v>35.5571345582354</v>
      </c>
      <c r="AR536" s="31">
        <f t="shared" si="511"/>
        <v>-88.1299064138543</v>
      </c>
      <c r="AS536" t="str">
        <f t="shared" si="487"/>
        <v>-0,0000504684572142411</v>
      </c>
      <c r="AT536" t="str">
        <f t="shared" si="488"/>
        <v>2,13689380874112i</v>
      </c>
      <c r="AU536">
        <f t="shared" si="512"/>
        <v>2.13689380874112</v>
      </c>
      <c r="AV536">
        <f t="shared" si="513"/>
        <v>1.5707963267949</v>
      </c>
      <c r="AW536" t="str">
        <f t="shared" si="489"/>
        <v>1+109,405043555989i</v>
      </c>
      <c r="AX536">
        <f t="shared" si="514"/>
        <v>109.409613633756</v>
      </c>
      <c r="AY536">
        <f t="shared" si="515"/>
        <v>1.56165623489191</v>
      </c>
      <c r="AZ536" t="str">
        <f t="shared" si="490"/>
        <v>1+5230,49218872993i</v>
      </c>
      <c r="BA536">
        <f t="shared" si="516"/>
        <v>5230.49228432323</v>
      </c>
      <c r="BB536">
        <f t="shared" si="517"/>
        <v>1.57060514020065</v>
      </c>
      <c r="BC536" s="30" t="str">
        <f t="shared" si="518"/>
        <v>-0,000010103882464898+0,00112903337322254i</v>
      </c>
      <c r="BD536" s="32">
        <f t="shared" si="519"/>
        <v>-58.9455166102472</v>
      </c>
      <c r="BE536" s="31">
        <f t="shared" si="520"/>
        <v>90.5127345054526</v>
      </c>
      <c r="BF536" s="30" t="str">
        <f t="shared" si="521"/>
        <v>-0,000993611148745434-0,0016941008088646i</v>
      </c>
      <c r="BG536" s="68">
        <f t="shared" si="522"/>
        <v>-54.1372326327528</v>
      </c>
      <c r="BH536" s="31">
        <f t="shared" si="523"/>
        <v>-120.392152071893</v>
      </c>
      <c r="BI536" s="30" t="str">
        <f t="shared" si="476"/>
        <v>0,0676402518531625+0,00281465894298937i</v>
      </c>
      <c r="BJ536" s="68">
        <f t="shared" si="524"/>
        <v>-23.3883820520118</v>
      </c>
      <c r="BK536" s="31">
        <f t="shared" si="477"/>
        <v>2.38282809159834</v>
      </c>
      <c r="BL536" s="32">
        <f t="shared" si="525"/>
        <v>-54.1372326327528</v>
      </c>
      <c r="BM536" s="31">
        <f t="shared" si="526"/>
        <v>-120.392152071893</v>
      </c>
      <c r="BO536">
        <f t="shared" si="527"/>
        <v>0</v>
      </c>
      <c r="BP536">
        <f t="shared" si="528"/>
        <v>0</v>
      </c>
    </row>
    <row r="537" spans="14:68">
      <c r="N537" s="7">
        <v>19</v>
      </c>
      <c r="O537" s="18">
        <f t="shared" si="478"/>
        <v>1548816.61891249</v>
      </c>
      <c r="P537" s="86" t="str">
        <f t="shared" si="479"/>
        <v>163,636363636364</v>
      </c>
      <c r="Q537" s="4" t="str">
        <f t="shared" si="480"/>
        <v>1+59450,629321541i</v>
      </c>
      <c r="R537" s="4">
        <f t="shared" si="491"/>
        <v>59450.6293299513</v>
      </c>
      <c r="S537" s="4">
        <f t="shared" si="492"/>
        <v>1.57077950611509</v>
      </c>
      <c r="T537" s="4" t="str">
        <f t="shared" si="481"/>
        <v>1+152,589948591955i</v>
      </c>
      <c r="U537" s="4">
        <f t="shared" si="493"/>
        <v>152.593225312579</v>
      </c>
      <c r="V537" s="4">
        <f t="shared" si="494"/>
        <v>1.56424290900149</v>
      </c>
      <c r="W537" t="str">
        <f t="shared" si="482"/>
        <v>1-145,972527351998i</v>
      </c>
      <c r="X537" s="4">
        <f t="shared" si="495"/>
        <v>145.97595261388</v>
      </c>
      <c r="Y537" s="4">
        <f t="shared" si="496"/>
        <v>-1.56394582982133</v>
      </c>
      <c r="Z537" t="str">
        <f t="shared" si="483"/>
        <v>-18,5823095430166+30,2371663800567i</v>
      </c>
      <c r="AA537" s="4">
        <f t="shared" si="497"/>
        <v>35.4906812930904</v>
      </c>
      <c r="AB537" s="4">
        <f t="shared" si="498"/>
        <v>2.12184713397919</v>
      </c>
      <c r="AC537" s="67" t="str">
        <f t="shared" si="499"/>
        <v>-1,47209589163615+0,90404291228189i</v>
      </c>
      <c r="AD537" s="68">
        <f t="shared" si="500"/>
        <v>4.7485119607115</v>
      </c>
      <c r="AE537" s="31">
        <f t="shared" si="501"/>
        <v>148.445099588228</v>
      </c>
      <c r="AF537" s="32" t="str">
        <f t="shared" si="502"/>
        <v>748,315388573934</v>
      </c>
      <c r="AG537" s="32" t="str">
        <f t="shared" si="484"/>
        <v>1+48441,2535212556i</v>
      </c>
      <c r="AH537" s="32">
        <f t="shared" si="503"/>
        <v>48441.2535315774</v>
      </c>
      <c r="AI537" s="32">
        <f t="shared" si="504"/>
        <v>1.57077568323332</v>
      </c>
      <c r="AJ537" s="32" t="str">
        <f t="shared" si="485"/>
        <v>1+152,589948591955i</v>
      </c>
      <c r="AK537" s="32">
        <f t="shared" si="505"/>
        <v>152.593225312579</v>
      </c>
      <c r="AL537" s="32">
        <f t="shared" si="506"/>
        <v>1.56424290900149</v>
      </c>
      <c r="AM537" s="32" t="str">
        <f t="shared" si="486"/>
        <v>1-26,0085326301269i</v>
      </c>
      <c r="AN537" s="32">
        <f t="shared" si="507"/>
        <v>26.0277499905846</v>
      </c>
      <c r="AO537" s="32">
        <f t="shared" si="508"/>
        <v>-1.5323663362345</v>
      </c>
      <c r="AP537" s="30" t="str">
        <f t="shared" si="509"/>
        <v>1,95668231378467-61,3225508861687i</v>
      </c>
      <c r="AQ537" s="32">
        <f t="shared" si="510"/>
        <v>35.7568236477764</v>
      </c>
      <c r="AR537" s="31">
        <f t="shared" si="511"/>
        <v>-88.1724241261575</v>
      </c>
      <c r="AS537" t="str">
        <f t="shared" si="487"/>
        <v>-0,0000504684572142411</v>
      </c>
      <c r="AT537" t="str">
        <f t="shared" si="488"/>
        <v>2,18666845973293i</v>
      </c>
      <c r="AU537">
        <f t="shared" si="512"/>
        <v>2.18666845973293</v>
      </c>
      <c r="AV537">
        <f t="shared" si="513"/>
        <v>1.5707963267949</v>
      </c>
      <c r="AW537" t="str">
        <f t="shared" si="489"/>
        <v>1+111,953414391015i</v>
      </c>
      <c r="AX537">
        <f t="shared" si="514"/>
        <v>111.95788044531</v>
      </c>
      <c r="AY537">
        <f t="shared" si="515"/>
        <v>1.56186427758975</v>
      </c>
      <c r="AZ537" t="str">
        <f t="shared" si="490"/>
        <v>1+5352,32600290658i</v>
      </c>
      <c r="BA537">
        <f t="shared" si="516"/>
        <v>5352.32609632391</v>
      </c>
      <c r="BB537">
        <f t="shared" si="517"/>
        <v>1.57060949213875</v>
      </c>
      <c r="BC537" s="30" t="str">
        <f t="shared" si="518"/>
        <v>-9,64916912365285E-06+0,0011033374976443i</v>
      </c>
      <c r="BD537" s="32">
        <f t="shared" si="519"/>
        <v>-59.1455002884435</v>
      </c>
      <c r="BE537" s="31">
        <f t="shared" si="520"/>
        <v>90.5010638845936</v>
      </c>
      <c r="BF537" s="30" t="str">
        <f t="shared" si="521"/>
        <v>-0,000983259942375534-0,00163294186032593i</v>
      </c>
      <c r="BG537" s="68">
        <f t="shared" si="522"/>
        <v>-54.396988327732</v>
      </c>
      <c r="BH537" s="31">
        <f t="shared" si="523"/>
        <v>-121.053836527178</v>
      </c>
      <c r="BI537" s="30" t="str">
        <f t="shared" si="476"/>
        <v>0,0676405894853437+0,00275059263237049i</v>
      </c>
      <c r="BJ537" s="68">
        <f t="shared" si="524"/>
        <v>-23.388676640667</v>
      </c>
      <c r="BK537" s="31">
        <f t="shared" si="477"/>
        <v>2.32863975843612</v>
      </c>
      <c r="BL537" s="32">
        <f t="shared" si="525"/>
        <v>-54.396988327732</v>
      </c>
      <c r="BM537" s="31">
        <f t="shared" si="526"/>
        <v>-121.053836527178</v>
      </c>
      <c r="BO537">
        <f t="shared" si="527"/>
        <v>0</v>
      </c>
      <c r="BP537">
        <f t="shared" si="528"/>
        <v>0</v>
      </c>
    </row>
    <row r="538" spans="14:68">
      <c r="N538" s="7">
        <v>20</v>
      </c>
      <c r="O538" s="18">
        <f t="shared" si="478"/>
        <v>1584893.19246112</v>
      </c>
      <c r="P538" s="86" t="str">
        <f t="shared" si="479"/>
        <v>163,636363636364</v>
      </c>
      <c r="Q538" s="4" t="str">
        <f t="shared" si="480"/>
        <v>1+60835,4123714135i</v>
      </c>
      <c r="R538" s="4">
        <f t="shared" si="491"/>
        <v>60835.4123796324</v>
      </c>
      <c r="S538" s="4">
        <f t="shared" si="492"/>
        <v>1.57077988900051</v>
      </c>
      <c r="T538" s="4" t="str">
        <f t="shared" si="481"/>
        <v>1+156,144225086628i</v>
      </c>
      <c r="U538" s="4">
        <f t="shared" si="493"/>
        <v>156.147427221532</v>
      </c>
      <c r="V538" s="4">
        <f t="shared" si="494"/>
        <v>1.56439207887638</v>
      </c>
      <c r="W538" t="str">
        <f t="shared" si="482"/>
        <v>1-149,37266430481i</v>
      </c>
      <c r="X538" s="4">
        <f t="shared" si="495"/>
        <v>149.37601159998</v>
      </c>
      <c r="Y538" s="4">
        <f t="shared" si="496"/>
        <v>-1.56410176145698</v>
      </c>
      <c r="Z538" t="str">
        <f t="shared" si="483"/>
        <v>-19,5051953592622+30,9414804631392i</v>
      </c>
      <c r="AA538" s="4">
        <f t="shared" si="497"/>
        <v>36.5763292206012</v>
      </c>
      <c r="AB538" s="4">
        <f t="shared" si="498"/>
        <v>2.13326210691845</v>
      </c>
      <c r="AC538" s="67" t="str">
        <f t="shared" si="499"/>
        <v>-1,45132228322972+0,914276843262987i</v>
      </c>
      <c r="AD538" s="68">
        <f t="shared" si="500"/>
        <v>4.68677876396867</v>
      </c>
      <c r="AE538" s="31">
        <f t="shared" si="501"/>
        <v>147.790660457481</v>
      </c>
      <c r="AF538" s="32" t="str">
        <f t="shared" si="502"/>
        <v>748,315388573934</v>
      </c>
      <c r="AG538" s="32" t="str">
        <f t="shared" si="484"/>
        <v>1+49569,5952655962i</v>
      </c>
      <c r="AH538" s="32">
        <f t="shared" si="503"/>
        <v>49569.595275683</v>
      </c>
      <c r="AI538" s="32">
        <f t="shared" si="504"/>
        <v>1.57077615313815</v>
      </c>
      <c r="AJ538" s="32" t="str">
        <f t="shared" si="485"/>
        <v>1+156,144225086628i</v>
      </c>
      <c r="AK538" s="32">
        <f t="shared" si="505"/>
        <v>156.147427221532</v>
      </c>
      <c r="AL538" s="32">
        <f t="shared" si="506"/>
        <v>1.56439207887638</v>
      </c>
      <c r="AM538" s="32" t="str">
        <f t="shared" si="486"/>
        <v>1-26,6143491799141i</v>
      </c>
      <c r="AN538" s="32">
        <f t="shared" si="507"/>
        <v>26.6331294118884</v>
      </c>
      <c r="AO538" s="32">
        <f t="shared" si="508"/>
        <v>-1.53324027773449</v>
      </c>
      <c r="AP538" s="30" t="str">
        <f t="shared" si="509"/>
        <v>1,95668229946936-62,7502269862116i</v>
      </c>
      <c r="AQ538" s="32">
        <f t="shared" si="510"/>
        <v>35.9565267109556</v>
      </c>
      <c r="AR538" s="31">
        <f t="shared" si="511"/>
        <v>-88.2139774049496</v>
      </c>
      <c r="AS538" t="str">
        <f t="shared" si="487"/>
        <v>-0,0000504684572142411</v>
      </c>
      <c r="AT538" t="str">
        <f t="shared" si="488"/>
        <v>2,23760251128605i</v>
      </c>
      <c r="AU538">
        <f t="shared" si="512"/>
        <v>2.23760251128605</v>
      </c>
      <c r="AV538">
        <f t="shared" si="513"/>
        <v>1.5707963267949</v>
      </c>
      <c r="AW538" t="str">
        <f t="shared" si="489"/>
        <v>1+114,561144408228i</v>
      </c>
      <c r="AX538">
        <f t="shared" si="514"/>
        <v>114.565508806634</v>
      </c>
      <c r="AY538">
        <f t="shared" si="515"/>
        <v>1.56206758540478</v>
      </c>
      <c r="AZ538" t="str">
        <f t="shared" si="490"/>
        <v>1+5476,99769117636i</v>
      </c>
      <c r="BA538">
        <f t="shared" si="516"/>
        <v>5476.99778246725</v>
      </c>
      <c r="BB538">
        <f t="shared" si="517"/>
        <v>1.57061374501465</v>
      </c>
      <c r="BC538" s="30" t="str">
        <f t="shared" si="518"/>
        <v>-9,21491806202686E-06+0,00107822626053575i</v>
      </c>
      <c r="BD538" s="32">
        <f t="shared" si="519"/>
        <v>-59.3454847011844</v>
      </c>
      <c r="BE538" s="31">
        <f t="shared" si="520"/>
        <v>90.4896588766906</v>
      </c>
      <c r="BF538" s="30" t="str">
        <f t="shared" si="521"/>
        <v>-0,000972423485884325-0,00157327878447566i</v>
      </c>
      <c r="BG538" s="68">
        <f t="shared" si="522"/>
        <v>-54.6587059372158</v>
      </c>
      <c r="BH538" s="31">
        <f t="shared" si="523"/>
        <v>-121.719680665829</v>
      </c>
      <c r="BI538" s="30" t="str">
        <f t="shared" si="476"/>
        <v>0,0676409119240494+0,00268798443886487i</v>
      </c>
      <c r="BJ538" s="68">
        <f t="shared" si="524"/>
        <v>-23.3889579902289</v>
      </c>
      <c r="BK538" s="31">
        <f t="shared" si="477"/>
        <v>2.27568147174101</v>
      </c>
      <c r="BL538" s="32">
        <f t="shared" si="525"/>
        <v>-54.6587059372158</v>
      </c>
      <c r="BM538" s="31">
        <f t="shared" si="526"/>
        <v>-121.719680665829</v>
      </c>
      <c r="BO538">
        <f t="shared" si="527"/>
        <v>0</v>
      </c>
      <c r="BP538">
        <f t="shared" si="528"/>
        <v>0</v>
      </c>
    </row>
    <row r="539" spans="14:68">
      <c r="N539" s="7">
        <v>21</v>
      </c>
      <c r="O539" s="18">
        <f t="shared" si="478"/>
        <v>1621810.09735893</v>
      </c>
      <c r="P539" s="86" t="str">
        <f t="shared" si="479"/>
        <v>163,636363636364</v>
      </c>
      <c r="Q539" s="4" t="str">
        <f t="shared" si="480"/>
        <v>1+62252,451162177i</v>
      </c>
      <c r="R539" s="4">
        <f t="shared" si="491"/>
        <v>62252.4511702088</v>
      </c>
      <c r="S539" s="4">
        <f t="shared" si="492"/>
        <v>1.57078026317039</v>
      </c>
      <c r="T539" s="4" t="str">
        <f t="shared" si="481"/>
        <v>1+159,781291316254i</v>
      </c>
      <c r="U539" s="4">
        <f t="shared" si="493"/>
        <v>159.784420563113</v>
      </c>
      <c r="V539" s="4">
        <f t="shared" si="494"/>
        <v>1.56453785350578</v>
      </c>
      <c r="W539" t="str">
        <f t="shared" si="482"/>
        <v>1-152,852000621417i</v>
      </c>
      <c r="X539" s="4">
        <f t="shared" si="495"/>
        <v>152.855271724497</v>
      </c>
      <c r="Y539" s="4">
        <f t="shared" si="496"/>
        <v>-1.56425414396984</v>
      </c>
      <c r="Z539" t="str">
        <f t="shared" si="483"/>
        <v>-20,4715754440439+31,662200128722i</v>
      </c>
      <c r="AA539" s="4">
        <f t="shared" si="497"/>
        <v>37.7038501767714</v>
      </c>
      <c r="AB539" s="4">
        <f t="shared" si="498"/>
        <v>2.144750877709</v>
      </c>
      <c r="AC539" s="67" t="str">
        <f t="shared" si="499"/>
        <v>-1,43018445371465+0,924095080134448i</v>
      </c>
      <c r="AD539" s="68">
        <f t="shared" si="500"/>
        <v>4.62305032273792</v>
      </c>
      <c r="AE539" s="31">
        <f t="shared" si="501"/>
        <v>147.1320023372</v>
      </c>
      <c r="AF539" s="32" t="str">
        <f t="shared" si="502"/>
        <v>748,315388573934</v>
      </c>
      <c r="AG539" s="32" t="str">
        <f t="shared" si="484"/>
        <v>1+50724,2194654775i</v>
      </c>
      <c r="AH539" s="32">
        <f t="shared" si="503"/>
        <v>50724.2194753347</v>
      </c>
      <c r="AI539" s="32">
        <f t="shared" si="504"/>
        <v>1.57077661234664</v>
      </c>
      <c r="AJ539" s="32" t="str">
        <f t="shared" si="485"/>
        <v>1+159,781291316254i</v>
      </c>
      <c r="AK539" s="32">
        <f t="shared" si="505"/>
        <v>159.784420563113</v>
      </c>
      <c r="AL539" s="32">
        <f t="shared" si="506"/>
        <v>1.56453785350578</v>
      </c>
      <c r="AM539" s="32" t="str">
        <f t="shared" si="486"/>
        <v>1-27,234277009919i</v>
      </c>
      <c r="AN539" s="32">
        <f t="shared" si="507"/>
        <v>27.2526300428601</v>
      </c>
      <c r="AO539" s="32">
        <f t="shared" si="508"/>
        <v>-1.53409438136136</v>
      </c>
      <c r="AP539" s="30" t="str">
        <f t="shared" si="509"/>
        <v>1,95668228579834-64,2111740872i</v>
      </c>
      <c r="AQ539" s="32">
        <f t="shared" si="510"/>
        <v>36.1562431205811</v>
      </c>
      <c r="AR539" s="31">
        <f t="shared" si="511"/>
        <v>-88.2545879777204</v>
      </c>
      <c r="AS539" t="str">
        <f t="shared" si="487"/>
        <v>-0,0000504684572142411</v>
      </c>
      <c r="AT539" t="str">
        <f t="shared" si="488"/>
        <v>2,28972296930882i</v>
      </c>
      <c r="AU539">
        <f t="shared" si="512"/>
        <v>2.28972296930882</v>
      </c>
      <c r="AV539">
        <f t="shared" si="513"/>
        <v>1.5707963267949</v>
      </c>
      <c r="AW539" t="str">
        <f t="shared" si="489"/>
        <v>1+117,229616260603i</v>
      </c>
      <c r="AX539">
        <f t="shared" si="514"/>
        <v>117.233881316829</v>
      </c>
      <c r="AY539">
        <f t="shared" si="515"/>
        <v>1.56226626606621</v>
      </c>
      <c r="AZ539" t="str">
        <f t="shared" si="490"/>
        <v>1+5604,5733561186i</v>
      </c>
      <c r="BA539">
        <f t="shared" si="516"/>
        <v>5604.57344533146</v>
      </c>
      <c r="BB539">
        <f t="shared" si="517"/>
        <v>1.57061790108328</v>
      </c>
      <c r="BC539" s="30" t="str">
        <f t="shared" si="518"/>
        <v>-8,80020860655737E-06+0,00105368637199018i</v>
      </c>
      <c r="BD539" s="32">
        <f t="shared" si="519"/>
        <v>-59.5454698154154</v>
      </c>
      <c r="BE539" s="31">
        <f t="shared" si="520"/>
        <v>90.4785134385117</v>
      </c>
      <c r="BF539" s="30" t="str">
        <f t="shared" si="521"/>
        <v>-0,000961120470822297-0,00151509809778882i</v>
      </c>
      <c r="BG539" s="68">
        <f t="shared" si="522"/>
        <v>-54.9224194926775</v>
      </c>
      <c r="BH539" s="31">
        <f t="shared" si="523"/>
        <v>-122.389484224289</v>
      </c>
      <c r="BI539" s="30" t="str">
        <f t="shared" si="476"/>
        <v>0,0676412198528799+0,00262680118569964i</v>
      </c>
      <c r="BJ539" s="68">
        <f t="shared" si="524"/>
        <v>-23.3892266948343</v>
      </c>
      <c r="BK539" s="31">
        <f t="shared" si="477"/>
        <v>2.22392546079127</v>
      </c>
      <c r="BL539" s="32">
        <f t="shared" si="525"/>
        <v>-54.9224194926775</v>
      </c>
      <c r="BM539" s="31">
        <f t="shared" si="526"/>
        <v>-122.389484224289</v>
      </c>
      <c r="BO539">
        <f t="shared" si="527"/>
        <v>0</v>
      </c>
      <c r="BP539">
        <f t="shared" si="528"/>
        <v>0</v>
      </c>
    </row>
    <row r="540" spans="14:68">
      <c r="N540" s="7">
        <v>22</v>
      </c>
      <c r="O540" s="18">
        <f t="shared" si="478"/>
        <v>1659586.90743756</v>
      </c>
      <c r="P540" s="86" t="str">
        <f t="shared" si="479"/>
        <v>163,636363636364</v>
      </c>
      <c r="Q540" s="4" t="str">
        <f t="shared" si="480"/>
        <v>1+63702,4970265558i</v>
      </c>
      <c r="R540" s="4">
        <f t="shared" si="491"/>
        <v>63702.4970344048</v>
      </c>
      <c r="S540" s="4">
        <f t="shared" si="492"/>
        <v>1.57078062882313</v>
      </c>
      <c r="T540" s="4" t="str">
        <f t="shared" si="481"/>
        <v>1+163,503075701493i</v>
      </c>
      <c r="U540" s="4">
        <f t="shared" si="493"/>
        <v>163.506133719344</v>
      </c>
      <c r="V540" s="4">
        <f t="shared" si="494"/>
        <v>1.56468031015652</v>
      </c>
      <c r="W540" t="str">
        <f t="shared" si="482"/>
        <v>1-156,41238109199i</v>
      </c>
      <c r="X540" s="4">
        <f t="shared" si="495"/>
        <v>156.415577737212</v>
      </c>
      <c r="Y540" s="4">
        <f t="shared" si="496"/>
        <v>-1.56440305812682</v>
      </c>
      <c r="Z540" t="str">
        <f t="shared" si="483"/>
        <v>-21,4834996190872+32,3997075119121i</v>
      </c>
      <c r="AA540" s="4">
        <f t="shared" si="497"/>
        <v>38.8752080732795</v>
      </c>
      <c r="AB540" s="4">
        <f t="shared" si="498"/>
        <v>2.15630963092084</v>
      </c>
      <c r="AC540" s="67" t="str">
        <f t="shared" si="499"/>
        <v>-1,40869634183256+0,93348008576978i</v>
      </c>
      <c r="AD540" s="68">
        <f t="shared" si="500"/>
        <v>4.55729379047962</v>
      </c>
      <c r="AE540" s="31">
        <f t="shared" si="501"/>
        <v>146.469343623516</v>
      </c>
      <c r="AF540" s="32" t="str">
        <f t="shared" si="502"/>
        <v>748,315388573934</v>
      </c>
      <c r="AG540" s="32" t="str">
        <f t="shared" si="484"/>
        <v>1+51905,7383179343i</v>
      </c>
      <c r="AH540" s="32">
        <f t="shared" si="503"/>
        <v>51905.7383275671</v>
      </c>
      <c r="AI540" s="32">
        <f t="shared" si="504"/>
        <v>1.57077706110227</v>
      </c>
      <c r="AJ540" s="32" t="str">
        <f t="shared" si="485"/>
        <v>1+163,503075701493i</v>
      </c>
      <c r="AK540" s="32">
        <f t="shared" si="505"/>
        <v>163.506133719344</v>
      </c>
      <c r="AL540" s="32">
        <f t="shared" si="506"/>
        <v>1.56468031015652</v>
      </c>
      <c r="AM540" s="32" t="str">
        <f t="shared" si="486"/>
        <v>1-27,868644814083i</v>
      </c>
      <c r="AN540" s="32">
        <f t="shared" si="507"/>
        <v>27.8865803528062</v>
      </c>
      <c r="AO540" s="32">
        <f t="shared" si="508"/>
        <v>-1.53492909498483</v>
      </c>
      <c r="AP540" s="30" t="str">
        <f t="shared" si="509"/>
        <v>1,95668227274262-65,7061668026252i</v>
      </c>
      <c r="AQ540" s="32">
        <f t="shared" si="510"/>
        <v>36.355972277538</v>
      </c>
      <c r="AR540" s="31">
        <f t="shared" si="511"/>
        <v>-88.2942770923999</v>
      </c>
      <c r="AS540" t="str">
        <f t="shared" si="487"/>
        <v>-0,0000504684572142411</v>
      </c>
      <c r="AT540" t="str">
        <f t="shared" si="488"/>
        <v>2,343057468758i</v>
      </c>
      <c r="AU540">
        <f t="shared" si="512"/>
        <v>2.343057468758</v>
      </c>
      <c r="AV540">
        <f t="shared" si="513"/>
        <v>1.5707963267949</v>
      </c>
      <c r="AW540" t="str">
        <f t="shared" si="489"/>
        <v>1+119,960244807237i</v>
      </c>
      <c r="AX540">
        <f t="shared" si="514"/>
        <v>119.964412782342</v>
      </c>
      <c r="AY540">
        <f t="shared" si="515"/>
        <v>1.56246042485439</v>
      </c>
      <c r="AZ540" t="str">
        <f t="shared" si="490"/>
        <v>1+5735,12064003961i</v>
      </c>
      <c r="BA540">
        <f t="shared" si="516"/>
        <v>5735.12072722173</v>
      </c>
      <c r="BB540">
        <f t="shared" si="517"/>
        <v>1.57062196254824</v>
      </c>
      <c r="BC540" s="30" t="str">
        <f t="shared" si="518"/>
        <v>-8,40416149620821E-06+0,00102970484340904i</v>
      </c>
      <c r="BD540" s="32">
        <f t="shared" si="519"/>
        <v>-59.7454555995687</v>
      </c>
      <c r="BE540" s="31">
        <f t="shared" si="520"/>
        <v>90.4676216641947</v>
      </c>
      <c r="BF540" s="30" t="str">
        <f t="shared" si="521"/>
        <v>-0,00094937005398715-0,00145838656347189i</v>
      </c>
      <c r="BG540" s="68">
        <f t="shared" si="522"/>
        <v>-55.1881618090891</v>
      </c>
      <c r="BH540" s="31">
        <f t="shared" si="523"/>
        <v>-123.063034712289</v>
      </c>
      <c r="BI540" s="30" t="str">
        <f t="shared" si="476"/>
        <v>0,0676415139246886+0,00256701045036174i</v>
      </c>
      <c r="BJ540" s="68">
        <f t="shared" si="524"/>
        <v>-23.3894833220307</v>
      </c>
      <c r="BK540" s="31">
        <f t="shared" si="477"/>
        <v>2.17334457179487</v>
      </c>
      <c r="BL540" s="32">
        <f t="shared" si="525"/>
        <v>-55.1881618090891</v>
      </c>
      <c r="BM540" s="31">
        <f t="shared" si="526"/>
        <v>-123.063034712289</v>
      </c>
      <c r="BO540">
        <f t="shared" si="527"/>
        <v>0</v>
      </c>
      <c r="BP540">
        <f t="shared" si="528"/>
        <v>0</v>
      </c>
    </row>
    <row r="541" spans="14:68">
      <c r="N541" s="7">
        <v>23</v>
      </c>
      <c r="O541" s="18">
        <f t="shared" si="478"/>
        <v>1698243.65246175</v>
      </c>
      <c r="P541" s="86" t="str">
        <f t="shared" si="479"/>
        <v>163,636363636364</v>
      </c>
      <c r="Q541" s="4" t="str">
        <f t="shared" si="480"/>
        <v>1+65186,3187980605i</v>
      </c>
      <c r="R541" s="4">
        <f t="shared" si="491"/>
        <v>65186.3188057308</v>
      </c>
      <c r="S541" s="4">
        <f t="shared" si="492"/>
        <v>1.57078098615259</v>
      </c>
      <c r="T541" s="4" t="str">
        <f t="shared" si="481"/>
        <v>1+167,311551581689i</v>
      </c>
      <c r="U541" s="4">
        <f t="shared" si="493"/>
        <v>167.314539991814</v>
      </c>
      <c r="V541" s="4">
        <f t="shared" si="494"/>
        <v>1.56481952433787</v>
      </c>
      <c r="W541" t="str">
        <f t="shared" si="482"/>
        <v>1-160,055693477381i</v>
      </c>
      <c r="X541" s="4">
        <f t="shared" si="495"/>
        <v>160.058817359511</v>
      </c>
      <c r="Y541" s="4">
        <f t="shared" si="496"/>
        <v>-1.56454858285774</v>
      </c>
      <c r="Z541" t="str">
        <f t="shared" si="483"/>
        <v>-22,543114311238+33,154393648886i</v>
      </c>
      <c r="AA541" s="4">
        <f t="shared" si="497"/>
        <v>40.0924658891772</v>
      </c>
      <c r="AB541" s="4">
        <f t="shared" si="498"/>
        <v>2.16793434572506</v>
      </c>
      <c r="AC541" s="67" t="str">
        <f t="shared" si="499"/>
        <v>-1,38687307179527+0,942414840981087i</v>
      </c>
      <c r="AD541" s="68">
        <f t="shared" si="500"/>
        <v>4.489477652942</v>
      </c>
      <c r="AE541" s="31">
        <f t="shared" si="501"/>
        <v>145.802914485865</v>
      </c>
      <c r="AF541" s="32" t="str">
        <f t="shared" si="502"/>
        <v>748,315388573934</v>
      </c>
      <c r="AG541" s="32" t="str">
        <f t="shared" si="484"/>
        <v>1+53114,7782799011i</v>
      </c>
      <c r="AH541" s="32">
        <f t="shared" si="503"/>
        <v>53114.7782893147</v>
      </c>
      <c r="AI541" s="32">
        <f t="shared" si="504"/>
        <v>1.57077749964298</v>
      </c>
      <c r="AJ541" s="32" t="str">
        <f t="shared" si="485"/>
        <v>1+167,311551581689i</v>
      </c>
      <c r="AK541" s="32">
        <f t="shared" si="505"/>
        <v>167.314539991814</v>
      </c>
      <c r="AL541" s="32">
        <f t="shared" si="506"/>
        <v>1.56481952433787</v>
      </c>
      <c r="AM541" s="32" t="str">
        <f t="shared" si="486"/>
        <v>1-28,5177889426127i</v>
      </c>
      <c r="AN541" s="32">
        <f t="shared" si="507"/>
        <v>28.5353164723191</v>
      </c>
      <c r="AO541" s="32">
        <f t="shared" si="508"/>
        <v>-1.53574485652578</v>
      </c>
      <c r="AP541" s="30" t="str">
        <f t="shared" si="509"/>
        <v>1,95668226027451-67,2359977974137i</v>
      </c>
      <c r="AQ541" s="32">
        <f t="shared" si="510"/>
        <v>36.5557136095377</v>
      </c>
      <c r="AR541" s="31">
        <f t="shared" si="511"/>
        <v>-88.3330655272771</v>
      </c>
      <c r="AS541" t="str">
        <f t="shared" si="487"/>
        <v>-0,0000504684572142411</v>
      </c>
      <c r="AT541" t="str">
        <f t="shared" si="488"/>
        <v>2,39763428829115i</v>
      </c>
      <c r="AU541">
        <f t="shared" si="512"/>
        <v>2.39763428829115</v>
      </c>
      <c r="AV541">
        <f t="shared" si="513"/>
        <v>1.5707963267949</v>
      </c>
      <c r="AW541" t="str">
        <f t="shared" si="489"/>
        <v>1+122,75447786353i</v>
      </c>
      <c r="AX541">
        <f t="shared" si="514"/>
        <v>122.758550967124</v>
      </c>
      <c r="AY541">
        <f t="shared" si="515"/>
        <v>1.56265016465629</v>
      </c>
      <c r="AZ541" t="str">
        <f t="shared" si="490"/>
        <v>1+5868,70876083728i</v>
      </c>
      <c r="BA541">
        <f t="shared" si="516"/>
        <v>5868.7088460349</v>
      </c>
      <c r="BB541">
        <f t="shared" si="517"/>
        <v>1.57062593156299</v>
      </c>
      <c r="BC541" s="30" t="str">
        <f t="shared" si="518"/>
        <v>-8,02593702067613E-06+0,00100626898072384i</v>
      </c>
      <c r="BD541" s="32">
        <f t="shared" si="519"/>
        <v>-59.9454420234971</v>
      </c>
      <c r="BE541" s="31">
        <f t="shared" si="520"/>
        <v>90.4569777821337</v>
      </c>
      <c r="BF541" s="30" t="str">
        <f t="shared" si="521"/>
        <v>-0,000937191865523158-0,00140313111450983i</v>
      </c>
      <c r="BG541" s="68">
        <f t="shared" si="522"/>
        <v>-55.4559643705551</v>
      </c>
      <c r="BH541" s="31">
        <f t="shared" si="523"/>
        <v>-123.740107732002</v>
      </c>
      <c r="BI541" s="30" t="str">
        <f t="shared" si="476"/>
        <v>0,0676417947629634+0,00250858054749121i</v>
      </c>
      <c r="BJ541" s="68">
        <f t="shared" si="524"/>
        <v>-23.3897284139594</v>
      </c>
      <c r="BK541" s="31">
        <f t="shared" si="477"/>
        <v>2.12391225485659</v>
      </c>
      <c r="BL541" s="32">
        <f t="shared" si="525"/>
        <v>-55.4559643705551</v>
      </c>
      <c r="BM541" s="31">
        <f t="shared" si="526"/>
        <v>-123.740107732002</v>
      </c>
      <c r="BO541">
        <f t="shared" si="527"/>
        <v>0</v>
      </c>
      <c r="BP541">
        <f t="shared" si="528"/>
        <v>0</v>
      </c>
    </row>
    <row r="542" spans="14:68">
      <c r="N542" s="7">
        <v>24</v>
      </c>
      <c r="O542" s="18">
        <f t="shared" si="478"/>
        <v>1737800.82874938</v>
      </c>
      <c r="P542" s="86" t="str">
        <f t="shared" si="479"/>
        <v>163,636363636364</v>
      </c>
      <c r="Q542" s="4" t="str">
        <f t="shared" si="480"/>
        <v>1+66704,7032186342i</v>
      </c>
      <c r="R542" s="4">
        <f t="shared" si="491"/>
        <v>66704.7032261299</v>
      </c>
      <c r="S542" s="4">
        <f t="shared" si="492"/>
        <v>1.57078133534824</v>
      </c>
      <c r="T542" s="4" t="str">
        <f t="shared" si="481"/>
        <v>1+171,208738261161i</v>
      </c>
      <c r="U542" s="4">
        <f t="shared" si="493"/>
        <v>171.21165864794</v>
      </c>
      <c r="V542" s="4">
        <f t="shared" si="494"/>
        <v>1.56495556984143</v>
      </c>
      <c r="W542" t="str">
        <f t="shared" si="482"/>
        <v>1-163,783869510039i</v>
      </c>
      <c r="X542" s="4">
        <f t="shared" si="495"/>
        <v>163.786922285271</v>
      </c>
      <c r="Y542" s="4">
        <f t="shared" si="496"/>
        <v>-1.56469079529706</v>
      </c>
      <c r="Z542" t="str">
        <f t="shared" si="483"/>
        <v>-23,6526671053228+33,9266586842224i</v>
      </c>
      <c r="AA542" s="4">
        <f t="shared" si="497"/>
        <v>41.3577904471569</v>
      </c>
      <c r="AB542" s="4">
        <f t="shared" si="498"/>
        <v>2.17962080239766</v>
      </c>
      <c r="AC542" s="67" t="str">
        <f t="shared" si="499"/>
        <v>-1,36473093124655+0,950882936421567i</v>
      </c>
      <c r="AD542" s="68">
        <f t="shared" si="500"/>
        <v>4.41957184068197</v>
      </c>
      <c r="AE542" s="31">
        <f t="shared" si="501"/>
        <v>145.132956494233</v>
      </c>
      <c r="AF542" s="32" t="str">
        <f t="shared" si="502"/>
        <v>748,315388573934</v>
      </c>
      <c r="AG542" s="32" t="str">
        <f t="shared" si="484"/>
        <v>1+54351,9804003685i</v>
      </c>
      <c r="AH542" s="32">
        <f t="shared" si="503"/>
        <v>54351.9804095678</v>
      </c>
      <c r="AI542" s="32">
        <f t="shared" si="504"/>
        <v>1.57077792820128</v>
      </c>
      <c r="AJ542" s="32" t="str">
        <f t="shared" si="485"/>
        <v>1+171,208738261161i</v>
      </c>
      <c r="AK542" s="32">
        <f t="shared" si="505"/>
        <v>171.21165864794</v>
      </c>
      <c r="AL542" s="32">
        <f t="shared" si="506"/>
        <v>1.56495556984143</v>
      </c>
      <c r="AM542" s="32" t="str">
        <f t="shared" si="486"/>
        <v>1-29,182053580317i</v>
      </c>
      <c r="AN542" s="32">
        <f t="shared" si="507"/>
        <v>29.1991823715064</v>
      </c>
      <c r="AO542" s="32">
        <f t="shared" si="508"/>
        <v>-1.53654209416639</v>
      </c>
      <c r="AP542" s="30" t="str">
        <f t="shared" si="509"/>
        <v>1,95668224836753-68,8014782082067i</v>
      </c>
      <c r="AQ542" s="32">
        <f t="shared" si="510"/>
        <v>36.7554665699224</v>
      </c>
      <c r="AR542" s="31">
        <f t="shared" si="511"/>
        <v>-88.3709736007594</v>
      </c>
      <c r="AS542" t="str">
        <f t="shared" si="487"/>
        <v>-0,0000504684572142411</v>
      </c>
      <c r="AT542" t="str">
        <f t="shared" si="488"/>
        <v>2,45348236526039i</v>
      </c>
      <c r="AU542">
        <f t="shared" si="512"/>
        <v>2.45348236526039</v>
      </c>
      <c r="AV542">
        <f t="shared" si="513"/>
        <v>1.5707963267949</v>
      </c>
      <c r="AW542" t="str">
        <f t="shared" si="489"/>
        <v>1+125,613796968833i</v>
      </c>
      <c r="AX542">
        <f t="shared" si="514"/>
        <v>125.617777360241</v>
      </c>
      <c r="AY542">
        <f t="shared" si="515"/>
        <v>1.56283558601979</v>
      </c>
      <c r="AZ542" t="str">
        <f t="shared" si="490"/>
        <v>1+6005,40854870142i</v>
      </c>
      <c r="BA542">
        <f t="shared" si="516"/>
        <v>6005.4086319597</v>
      </c>
      <c r="BB542">
        <f t="shared" si="517"/>
        <v>1.57062981023193</v>
      </c>
      <c r="BC542" s="30" t="str">
        <f t="shared" si="518"/>
        <v>-7,66473324229706E-06+0,000983366377766987i</v>
      </c>
      <c r="BD542" s="32">
        <f t="shared" si="519"/>
        <v>-60.1454290584097</v>
      </c>
      <c r="BE542" s="31">
        <f t="shared" si="520"/>
        <v>90.4465761519343</v>
      </c>
      <c r="BF542" s="30" t="str">
        <f t="shared" si="521"/>
        <v>-0,000924606010333796-0,00134931877653881i</v>
      </c>
      <c r="BG542" s="68">
        <f t="shared" si="522"/>
        <v>-55.7258572177277</v>
      </c>
      <c r="BH542" s="31">
        <f t="shared" si="523"/>
        <v>-124.420467353833</v>
      </c>
      <c r="BI542" s="30" t="str">
        <f t="shared" si="476"/>
        <v>0,0676420629631448+0,00245148051215976i</v>
      </c>
      <c r="BJ542" s="68">
        <f t="shared" si="524"/>
        <v>-23.3899624884873</v>
      </c>
      <c r="BK542" s="31">
        <f t="shared" si="477"/>
        <v>2.07560255117499</v>
      </c>
      <c r="BL542" s="32">
        <f t="shared" si="525"/>
        <v>-55.7258572177277</v>
      </c>
      <c r="BM542" s="31">
        <f t="shared" si="526"/>
        <v>-124.420467353833</v>
      </c>
      <c r="BO542">
        <f t="shared" si="527"/>
        <v>0</v>
      </c>
      <c r="BP542">
        <f t="shared" si="528"/>
        <v>0</v>
      </c>
    </row>
    <row r="543" spans="14:68">
      <c r="N543" s="7">
        <v>25</v>
      </c>
      <c r="O543" s="18">
        <f t="shared" si="478"/>
        <v>1778279.41003892</v>
      </c>
      <c r="P543" s="86" t="str">
        <f t="shared" si="479"/>
        <v>163,636363636364</v>
      </c>
      <c r="Q543" s="4" t="str">
        <f t="shared" si="480"/>
        <v>1+68258,4553557954i</v>
      </c>
      <c r="R543" s="4">
        <f t="shared" si="491"/>
        <v>68258.4553631205</v>
      </c>
      <c r="S543" s="4">
        <f t="shared" si="492"/>
        <v>1.57078167659523</v>
      </c>
      <c r="T543" s="4" t="str">
        <f t="shared" si="481"/>
        <v>1+175,196702079875i</v>
      </c>
      <c r="U543" s="4">
        <f t="shared" si="493"/>
        <v>175.19955599163</v>
      </c>
      <c r="V543" s="4">
        <f t="shared" si="494"/>
        <v>1.56508851878017</v>
      </c>
      <c r="W543" t="str">
        <f t="shared" si="482"/>
        <v>1-167,598885918248i</v>
      </c>
      <c r="X543" s="4">
        <f t="shared" si="495"/>
        <v>167.601869205083</v>
      </c>
      <c r="Y543" s="4">
        <f t="shared" si="496"/>
        <v>-1.56482977082469</v>
      </c>
      <c r="Z543" t="str">
        <f t="shared" si="483"/>
        <v>-24,8145115115786+34,7169120830656i</v>
      </c>
      <c r="AA543" s="4">
        <f t="shared" si="497"/>
        <v>42.6734573961564</v>
      </c>
      <c r="AB543" s="4">
        <f t="shared" si="498"/>
        <v>2.19136458981176</v>
      </c>
      <c r="AC543" s="67" t="str">
        <f t="shared" si="499"/>
        <v>-1,34228734105059+0,958868663948739i</v>
      </c>
      <c r="AD543" s="68">
        <f t="shared" si="500"/>
        <v>4.34754783904921</v>
      </c>
      <c r="AE543" s="31">
        <f t="shared" si="501"/>
        <v>144.459722189786</v>
      </c>
      <c r="AF543" s="32" t="str">
        <f t="shared" si="502"/>
        <v>748,315388573934</v>
      </c>
      <c r="AG543" s="32" t="str">
        <f t="shared" si="484"/>
        <v>1+55618,0006602777i</v>
      </c>
      <c r="AH543" s="32">
        <f t="shared" si="503"/>
        <v>55618.0006692676</v>
      </c>
      <c r="AI543" s="32">
        <f t="shared" si="504"/>
        <v>1.5707783470044</v>
      </c>
      <c r="AJ543" s="32" t="str">
        <f t="shared" si="485"/>
        <v>1+175,196702079875i</v>
      </c>
      <c r="AK543" s="32">
        <f t="shared" si="505"/>
        <v>175.19955599163</v>
      </c>
      <c r="AL543" s="32">
        <f t="shared" si="506"/>
        <v>1.56508851878017</v>
      </c>
      <c r="AM543" s="32" t="str">
        <f t="shared" si="486"/>
        <v>1-29,8617909290997i</v>
      </c>
      <c r="AN543" s="32">
        <f t="shared" si="507"/>
        <v>29.8785300423776</v>
      </c>
      <c r="AO543" s="32">
        <f t="shared" si="508"/>
        <v>-1.53732122655658</v>
      </c>
      <c r="AP543" s="30" t="str">
        <f t="shared" si="509"/>
        <v>1,95668223699649-70,403438073441i</v>
      </c>
      <c r="AQ543" s="32">
        <f t="shared" si="510"/>
        <v>36.9552306365233</v>
      </c>
      <c r="AR543" s="31">
        <f t="shared" si="511"/>
        <v>-88.4080211809701</v>
      </c>
      <c r="AS543" t="str">
        <f t="shared" si="487"/>
        <v>-0,0000504684572142411</v>
      </c>
      <c r="AT543" t="str">
        <f t="shared" si="488"/>
        <v>2,51063131105535i</v>
      </c>
      <c r="AU543">
        <f t="shared" si="512"/>
        <v>2.51063131105535</v>
      </c>
      <c r="AV543">
        <f t="shared" si="513"/>
        <v>1.5707963267949</v>
      </c>
      <c r="AW543" t="str">
        <f t="shared" si="489"/>
        <v>1+128,539718171983i</v>
      </c>
      <c r="AX543">
        <f t="shared" si="514"/>
        <v>128.543607961395</v>
      </c>
      <c r="AY543">
        <f t="shared" si="515"/>
        <v>1.56301678720671</v>
      </c>
      <c r="AZ543" t="str">
        <f t="shared" si="490"/>
        <v>1+6145,29248366907i</v>
      </c>
      <c r="BA543">
        <f t="shared" si="516"/>
        <v>6145.29256503216</v>
      </c>
      <c r="BB543">
        <f t="shared" si="517"/>
        <v>1.57063360061159</v>
      </c>
      <c r="BC543" s="30" t="str">
        <f t="shared" si="518"/>
        <v>-7,31978429780479E-06+0,000960984909788509i</v>
      </c>
      <c r="BD543" s="32">
        <f t="shared" si="519"/>
        <v>-60.345416676811</v>
      </c>
      <c r="BE543" s="31">
        <f t="shared" si="520"/>
        <v>90.4364112614382</v>
      </c>
      <c r="BF543" s="30" t="str">
        <f t="shared" si="521"/>
        <v>-0,000911633062721643-0,00129693659113979i</v>
      </c>
      <c r="BG543" s="68">
        <f t="shared" si="522"/>
        <v>-55.9978688377618</v>
      </c>
      <c r="BH543" s="31">
        <f t="shared" si="523"/>
        <v>-125.103866548776</v>
      </c>
      <c r="BI543" s="30" t="str">
        <f t="shared" si="476"/>
        <v>0,0676423190938924+0,0023956800835263i</v>
      </c>
      <c r="BJ543" s="68">
        <f t="shared" si="524"/>
        <v>-23.3901860402878</v>
      </c>
      <c r="BK543" s="31">
        <f t="shared" si="477"/>
        <v>2.02839008046817</v>
      </c>
      <c r="BL543" s="32">
        <f t="shared" si="525"/>
        <v>-55.9978688377618</v>
      </c>
      <c r="BM543" s="31">
        <f t="shared" si="526"/>
        <v>-125.103866548776</v>
      </c>
      <c r="BO543">
        <f t="shared" si="527"/>
        <v>0</v>
      </c>
      <c r="BP543">
        <f t="shared" si="528"/>
        <v>0</v>
      </c>
    </row>
    <row r="544" spans="14:68">
      <c r="N544" s="7">
        <v>26</v>
      </c>
      <c r="O544" s="18">
        <f t="shared" si="478"/>
        <v>1819700.85860998</v>
      </c>
      <c r="P544" s="86" t="str">
        <f t="shared" si="479"/>
        <v>163,636363636364</v>
      </c>
      <c r="Q544" s="4" t="str">
        <f t="shared" si="480"/>
        <v>1+69848,3990294943i</v>
      </c>
      <c r="R544" s="4">
        <f t="shared" si="491"/>
        <v>69848.3990366527</v>
      </c>
      <c r="S544" s="4">
        <f t="shared" si="492"/>
        <v>1.57078201007449</v>
      </c>
      <c r="T544" s="4" t="str">
        <f t="shared" si="481"/>
        <v>1+179,277557509035i</v>
      </c>
      <c r="U544" s="4">
        <f t="shared" si="493"/>
        <v>179.28034645885</v>
      </c>
      <c r="V544" s="4">
        <f t="shared" si="494"/>
        <v>1.56521844162657</v>
      </c>
      <c r="W544" t="str">
        <f t="shared" si="482"/>
        <v>1-171,502765474205i</v>
      </c>
      <c r="X544" s="4">
        <f t="shared" si="495"/>
        <v>171.505680854309</v>
      </c>
      <c r="Y544" s="4">
        <f t="shared" si="496"/>
        <v>-1.56496558310581</v>
      </c>
      <c r="Z544" t="str">
        <f t="shared" si="483"/>
        <v>-26,0311119577626+35,5255728482281i</v>
      </c>
      <c r="AA544" s="4">
        <f t="shared" si="497"/>
        <v>44.0418564090154</v>
      </c>
      <c r="AB544" s="4">
        <f t="shared" si="498"/>
        <v>2.20316111390786</v>
      </c>
      <c r="AC544" s="67" t="str">
        <f t="shared" si="499"/>
        <v>-1,31956081683116+0,966357106623551i</v>
      </c>
      <c r="AD544" s="68">
        <f t="shared" si="500"/>
        <v>4.27337879485857</v>
      </c>
      <c r="AE544" s="31">
        <f t="shared" si="501"/>
        <v>143.783474599448</v>
      </c>
      <c r="AF544" s="32" t="str">
        <f t="shared" si="502"/>
        <v>748,315388573934</v>
      </c>
      <c r="AG544" s="32" t="str">
        <f t="shared" si="484"/>
        <v>1+56913,5103203286i</v>
      </c>
      <c r="AH544" s="32">
        <f t="shared" si="503"/>
        <v>56913.5103291139</v>
      </c>
      <c r="AI544" s="32">
        <f t="shared" si="504"/>
        <v>1.5707787562744</v>
      </c>
      <c r="AJ544" s="32" t="str">
        <f t="shared" si="485"/>
        <v>1+179,277557509035i</v>
      </c>
      <c r="AK544" s="32">
        <f t="shared" si="505"/>
        <v>179.28034645885</v>
      </c>
      <c r="AL544" s="32">
        <f t="shared" si="506"/>
        <v>1.56521844162657</v>
      </c>
      <c r="AM544" s="32" t="str">
        <f t="shared" si="486"/>
        <v>1-30,5573613947008i</v>
      </c>
      <c r="AN544" s="32">
        <f t="shared" si="507"/>
        <v>30.5737196854807</v>
      </c>
      <c r="AO544" s="32">
        <f t="shared" si="508"/>
        <v>-1.53808266301674</v>
      </c>
      <c r="AP544" s="30" t="str">
        <f t="shared" si="509"/>
        <v>1,95668222613721-72,0427267734422i</v>
      </c>
      <c r="AQ544" s="32">
        <f t="shared" si="510"/>
        <v>37.1550053105682</v>
      </c>
      <c r="AR544" s="31">
        <f t="shared" si="511"/>
        <v>-88.444227695187</v>
      </c>
      <c r="AS544" t="str">
        <f t="shared" si="487"/>
        <v>-0,0000504684572142411</v>
      </c>
      <c r="AT544" t="str">
        <f t="shared" si="488"/>
        <v>2,56911142680358i</v>
      </c>
      <c r="AU544">
        <f t="shared" si="512"/>
        <v>2.56911142680358</v>
      </c>
      <c r="AV544">
        <f t="shared" si="513"/>
        <v>1.5707963267949</v>
      </c>
      <c r="AW544" t="str">
        <f t="shared" si="489"/>
        <v>1+131,533792835134i</v>
      </c>
      <c r="AX544">
        <f t="shared" si="514"/>
        <v>131.537594084718</v>
      </c>
      <c r="AY544">
        <f t="shared" si="515"/>
        <v>1.56319386424471</v>
      </c>
      <c r="AZ544" t="str">
        <f t="shared" si="490"/>
        <v>1+6288,43473405416i</v>
      </c>
      <c r="BA544">
        <f t="shared" si="516"/>
        <v>6288.4348135652</v>
      </c>
      <c r="BB544">
        <f t="shared" si="517"/>
        <v>1.57063730471168</v>
      </c>
      <c r="BC544" s="30" t="str">
        <f t="shared" si="518"/>
        <v>-6,99035877636408E-06+0,000939112727115632i</v>
      </c>
      <c r="BD544" s="32">
        <f t="shared" si="519"/>
        <v>-60.5454048524433</v>
      </c>
      <c r="BE544" s="31">
        <f t="shared" si="520"/>
        <v>90.4264777238145</v>
      </c>
      <c r="BF544" s="30" t="str">
        <f t="shared" si="521"/>
        <v>-0,000898294054231933-0,00124597154017063i</v>
      </c>
      <c r="BG544" s="68">
        <f t="shared" si="522"/>
        <v>-56.2720260575847</v>
      </c>
      <c r="BH544" s="31">
        <f t="shared" si="523"/>
        <v>-125.790047676738</v>
      </c>
      <c r="BI544" s="30" t="str">
        <f t="shared" si="476"/>
        <v>0,0676425636982816+0,00234114968886033i</v>
      </c>
      <c r="BJ544" s="68">
        <f t="shared" si="524"/>
        <v>-23.3903995418751</v>
      </c>
      <c r="BK544" s="31">
        <f t="shared" si="477"/>
        <v>1.98225002862749</v>
      </c>
      <c r="BL544" s="32">
        <f t="shared" si="525"/>
        <v>-56.2720260575847</v>
      </c>
      <c r="BM544" s="31">
        <f t="shared" si="526"/>
        <v>-125.790047676738</v>
      </c>
      <c r="BO544">
        <f t="shared" si="527"/>
        <v>0</v>
      </c>
      <c r="BP544">
        <f t="shared" si="528"/>
        <v>0</v>
      </c>
    </row>
    <row r="545" spans="14:68">
      <c r="N545" s="7">
        <v>27</v>
      </c>
      <c r="O545" s="18">
        <f t="shared" si="478"/>
        <v>1862087.13666287</v>
      </c>
      <c r="P545" s="86" t="str">
        <f t="shared" si="479"/>
        <v>163,636363636364</v>
      </c>
      <c r="Q545" s="4" t="str">
        <f t="shared" si="480"/>
        <v>1+71475,3772489119i</v>
      </c>
      <c r="R545" s="4">
        <f t="shared" si="491"/>
        <v>71475.3772559073</v>
      </c>
      <c r="S545" s="4">
        <f t="shared" si="492"/>
        <v>1.57078233596283</v>
      </c>
      <c r="T545" s="4" t="str">
        <f t="shared" si="481"/>
        <v>1+183,453468272207i</v>
      </c>
      <c r="U545" s="4">
        <f t="shared" si="493"/>
        <v>183.456193738728</v>
      </c>
      <c r="V545" s="4">
        <f t="shared" si="494"/>
        <v>1.56534540724988</v>
      </c>
      <c r="W545" t="str">
        <f t="shared" si="482"/>
        <v>1-175,497578066525i</v>
      </c>
      <c r="X545" s="4">
        <f t="shared" si="495"/>
        <v>175.500427085566</v>
      </c>
      <c r="Y545" s="4">
        <f t="shared" si="496"/>
        <v>-1.56509830412982</v>
      </c>
      <c r="Z545" t="str">
        <f t="shared" si="483"/>
        <v>-27,3050490165336+36,3530697423515i</v>
      </c>
      <c r="AA545" s="4">
        <f t="shared" si="497"/>
        <v>45.4654966044315</v>
      </c>
      <c r="AB545" s="4">
        <f t="shared" si="498"/>
        <v>2.2150056071229</v>
      </c>
      <c r="AC545" s="67" t="str">
        <f t="shared" si="499"/>
        <v>-1,29657092227991+0,973334226498673i</v>
      </c>
      <c r="AD545" s="68">
        <f t="shared" si="500"/>
        <v>4.19703961897958</v>
      </c>
      <c r="AE545" s="31">
        <f t="shared" si="501"/>
        <v>143.104486695558</v>
      </c>
      <c r="AF545" s="32" t="str">
        <f t="shared" si="502"/>
        <v>748,315388573934</v>
      </c>
      <c r="AG545" s="32" t="str">
        <f t="shared" si="484"/>
        <v>1+58239,1962768911i</v>
      </c>
      <c r="AH545" s="32">
        <f t="shared" si="503"/>
        <v>58239.1962854764</v>
      </c>
      <c r="AI545" s="32">
        <f t="shared" si="504"/>
        <v>1.57077915622827</v>
      </c>
      <c r="AJ545" s="32" t="str">
        <f t="shared" si="485"/>
        <v>1+183,453468272207i</v>
      </c>
      <c r="AK545" s="32">
        <f t="shared" si="505"/>
        <v>183.456193738728</v>
      </c>
      <c r="AL545" s="32">
        <f t="shared" si="506"/>
        <v>1.56534540724988</v>
      </c>
      <c r="AM545" s="32" t="str">
        <f t="shared" si="486"/>
        <v>1-31,269133777788i</v>
      </c>
      <c r="AN545" s="32">
        <f t="shared" si="507"/>
        <v>31.2851199008922</v>
      </c>
      <c r="AO545" s="32">
        <f t="shared" si="508"/>
        <v>-1.53882680373677</v>
      </c>
      <c r="AP545" s="30" t="str">
        <f t="shared" si="509"/>
        <v>1,95668221576668-73,7202134807771i</v>
      </c>
      <c r="AQ545" s="32">
        <f t="shared" si="510"/>
        <v>37.3547901156373</v>
      </c>
      <c r="AR545" s="31">
        <f t="shared" si="511"/>
        <v>-88.4796121391186</v>
      </c>
      <c r="AS545" t="str">
        <f t="shared" si="487"/>
        <v>-0,0000504684572142411</v>
      </c>
      <c r="AT545" t="str">
        <f t="shared" si="488"/>
        <v>2,62895371943653i</v>
      </c>
      <c r="AU545">
        <f t="shared" si="512"/>
        <v>2.62895371943653</v>
      </c>
      <c r="AV545">
        <f t="shared" si="513"/>
        <v>1.5707963267949</v>
      </c>
      <c r="AW545" t="str">
        <f t="shared" si="489"/>
        <v>1+134,597608456302i</v>
      </c>
      <c r="AX545">
        <f t="shared" si="514"/>
        <v>134.601323181297</v>
      </c>
      <c r="AY545">
        <f t="shared" si="515"/>
        <v>1.56336691097792</v>
      </c>
      <c r="AZ545" t="str">
        <f t="shared" si="490"/>
        <v>1+6434,91119577256i</v>
      </c>
      <c r="BA545">
        <f t="shared" si="516"/>
        <v>6434.91127347371</v>
      </c>
      <c r="BB545">
        <f t="shared" si="517"/>
        <v>1.57064092449617</v>
      </c>
      <c r="BC545" s="30" t="str">
        <f t="shared" si="518"/>
        <v>-6,67575817046054E-06+0,000917738248952433i</v>
      </c>
      <c r="BD545" s="32">
        <f t="shared" si="519"/>
        <v>-60.7453935602296</v>
      </c>
      <c r="BE545" s="31">
        <f t="shared" si="520"/>
        <v>90.4167702747166</v>
      </c>
      <c r="BF545" s="30" t="str">
        <f t="shared" si="521"/>
        <v>-0,000884610454744371-0,00119641047177094i</v>
      </c>
      <c r="BG545" s="68">
        <f t="shared" si="522"/>
        <v>-56.54835394125</v>
      </c>
      <c r="BH545" s="31">
        <f t="shared" si="523"/>
        <v>-126.478743029725</v>
      </c>
      <c r="BI545" s="30" t="str">
        <f t="shared" si="476"/>
        <v>0,067642797294959+0,00228786042792647i</v>
      </c>
      <c r="BJ545" s="68">
        <f t="shared" si="524"/>
        <v>-23.3906034445924</v>
      </c>
      <c r="BK545" s="31">
        <f t="shared" si="477"/>
        <v>1.93715813559798</v>
      </c>
      <c r="BL545" s="32">
        <f t="shared" si="525"/>
        <v>-56.54835394125</v>
      </c>
      <c r="BM545" s="31">
        <f t="shared" si="526"/>
        <v>-126.478743029725</v>
      </c>
      <c r="BO545">
        <f t="shared" si="527"/>
        <v>0</v>
      </c>
      <c r="BP545">
        <f t="shared" si="528"/>
        <v>0</v>
      </c>
    </row>
    <row r="546" spans="14:68">
      <c r="N546" s="7">
        <v>28</v>
      </c>
      <c r="O546" s="18">
        <f t="shared" si="478"/>
        <v>1905460.71796325</v>
      </c>
      <c r="P546" s="86" t="str">
        <f t="shared" si="479"/>
        <v>163,636363636364</v>
      </c>
      <c r="Q546" s="4" t="str">
        <f t="shared" si="480"/>
        <v>1+73140,2526594347i</v>
      </c>
      <c r="R546" s="4">
        <f t="shared" si="491"/>
        <v>73140.2526662709</v>
      </c>
      <c r="S546" s="4">
        <f t="shared" si="492"/>
        <v>1.57078265443305</v>
      </c>
      <c r="T546" s="4" t="str">
        <f t="shared" si="481"/>
        <v>1+187,726648492549i</v>
      </c>
      <c r="U546" s="4">
        <f t="shared" si="493"/>
        <v>187.729311920768</v>
      </c>
      <c r="V546" s="4">
        <f t="shared" si="494"/>
        <v>1.56546948295259</v>
      </c>
      <c r="W546" t="str">
        <f t="shared" si="482"/>
        <v>1-179,585441797719i</v>
      </c>
      <c r="X546" s="4">
        <f t="shared" si="495"/>
        <v>179.588225966186</v>
      </c>
      <c r="Y546" s="4">
        <f t="shared" si="496"/>
        <v>-1.56522800424846</v>
      </c>
      <c r="Z546" t="str">
        <f t="shared" si="483"/>
        <v>-28,6390248791925+37,1998415152418i</v>
      </c>
      <c r="AA546" s="4">
        <f t="shared" si="497"/>
        <v>46.9470122030158</v>
      </c>
      <c r="AB546" s="4">
        <f t="shared" si="498"/>
        <v>2.22689313874958</v>
      </c>
      <c r="AC546" s="67" t="str">
        <f t="shared" si="499"/>
        <v>-1,27333821434914+0,97978694933789i</v>
      </c>
      <c r="AD546" s="68">
        <f t="shared" si="500"/>
        <v>4.11850708407185</v>
      </c>
      <c r="AE546" s="31">
        <f t="shared" si="501"/>
        <v>142.423040802227</v>
      </c>
      <c r="AF546" s="32" t="str">
        <f t="shared" si="502"/>
        <v>748,315388573934</v>
      </c>
      <c r="AG546" s="32" t="str">
        <f t="shared" si="484"/>
        <v>1+59595,7614262061i</v>
      </c>
      <c r="AH546" s="32">
        <f t="shared" si="503"/>
        <v>59595.761434596</v>
      </c>
      <c r="AI546" s="32">
        <f t="shared" si="504"/>
        <v>1.57077954707808</v>
      </c>
      <c r="AJ546" s="32" t="str">
        <f t="shared" si="485"/>
        <v>1+187,726648492549i</v>
      </c>
      <c r="AK546" s="32">
        <f t="shared" si="505"/>
        <v>187.729311920768</v>
      </c>
      <c r="AL546" s="32">
        <f t="shared" si="506"/>
        <v>1.56546948295259</v>
      </c>
      <c r="AM546" s="32" t="str">
        <f t="shared" si="486"/>
        <v>1-31,9974854694999i</v>
      </c>
      <c r="AN546" s="32">
        <f t="shared" si="507"/>
        <v>32.0131078836601</v>
      </c>
      <c r="AO546" s="32">
        <f t="shared" si="508"/>
        <v>-1.53955403997154</v>
      </c>
      <c r="AP546" s="30" t="str">
        <f t="shared" si="509"/>
        <v>1,9566822058629-75,4367876211014i</v>
      </c>
      <c r="AQ546" s="32">
        <f t="shared" si="510"/>
        <v>37.554584596666</v>
      </c>
      <c r="AR546" s="31">
        <f t="shared" si="511"/>
        <v>-88.5141930860196</v>
      </c>
      <c r="AS546" t="str">
        <f t="shared" si="487"/>
        <v>-0,0000504684572142411</v>
      </c>
      <c r="AT546" t="str">
        <f t="shared" si="488"/>
        <v>2,69018991812982i</v>
      </c>
      <c r="AU546">
        <f t="shared" si="512"/>
        <v>2.69018991812982</v>
      </c>
      <c r="AV546">
        <f t="shared" si="513"/>
        <v>1.5707963267949</v>
      </c>
      <c r="AW546" t="str">
        <f t="shared" si="489"/>
        <v>1+137,732789511083i</v>
      </c>
      <c r="AX546">
        <f t="shared" si="514"/>
        <v>137.736419680868</v>
      </c>
      <c r="AY546">
        <f t="shared" si="515"/>
        <v>1.56353601911654</v>
      </c>
      <c r="AZ546" t="str">
        <f t="shared" si="490"/>
        <v>1+6584,79953258302i</v>
      </c>
      <c r="BA546">
        <f t="shared" si="516"/>
        <v>6584.79960851547</v>
      </c>
      <c r="BB546">
        <f t="shared" si="517"/>
        <v>1.5706444618843</v>
      </c>
      <c r="BC546" s="30" t="str">
        <f t="shared" si="518"/>
        <v>-6,37531539637821E-06+0,000896850157316433i</v>
      </c>
      <c r="BD546" s="32">
        <f t="shared" si="519"/>
        <v>-60.9453827762219</v>
      </c>
      <c r="BE546" s="31">
        <f t="shared" si="520"/>
        <v>90.4072837695031</v>
      </c>
      <c r="BF546" s="30" t="str">
        <f t="shared" si="521"/>
        <v>-0,000870604146927538-0,00114824002867934i</v>
      </c>
      <c r="BG546" s="68">
        <f t="shared" si="522"/>
        <v>-56.82687569215</v>
      </c>
      <c r="BH546" s="31">
        <f t="shared" si="523"/>
        <v>-127.16967542827</v>
      </c>
      <c r="BI546" s="30" t="str">
        <f t="shared" si="476"/>
        <v>0,0676430203792383+0,00223578405772053i</v>
      </c>
      <c r="BJ546" s="68">
        <f t="shared" si="524"/>
        <v>-23.3907981795559</v>
      </c>
      <c r="BK546" s="31">
        <f t="shared" si="477"/>
        <v>1.89309068348342</v>
      </c>
      <c r="BL546" s="32">
        <f t="shared" si="525"/>
        <v>-56.82687569215</v>
      </c>
      <c r="BM546" s="31">
        <f t="shared" si="526"/>
        <v>-127.16967542827</v>
      </c>
      <c r="BO546">
        <f t="shared" si="527"/>
        <v>0</v>
      </c>
      <c r="BP546">
        <f t="shared" si="528"/>
        <v>0</v>
      </c>
    </row>
    <row r="547" spans="14:68">
      <c r="N547" s="7">
        <v>29</v>
      </c>
      <c r="O547" s="18">
        <f t="shared" si="478"/>
        <v>1949844.59975805</v>
      </c>
      <c r="P547" s="86" t="str">
        <f t="shared" si="479"/>
        <v>163,636363636364</v>
      </c>
      <c r="Q547" s="4" t="str">
        <f t="shared" si="480"/>
        <v>1+74843,9080000429i</v>
      </c>
      <c r="R547" s="4">
        <f t="shared" si="491"/>
        <v>74843.9080067235</v>
      </c>
      <c r="S547" s="4">
        <f t="shared" si="492"/>
        <v>1.570782965654</v>
      </c>
      <c r="T547" s="4" t="str">
        <f t="shared" si="481"/>
        <v>1+192,099363866777i</v>
      </c>
      <c r="U547" s="4">
        <f t="shared" si="493"/>
        <v>192.101966668799</v>
      </c>
      <c r="V547" s="4">
        <f t="shared" si="494"/>
        <v>1.56559073450597</v>
      </c>
      <c r="W547" t="str">
        <f t="shared" si="482"/>
        <v>1-183,768524107248i</v>
      </c>
      <c r="X547" s="4">
        <f t="shared" si="495"/>
        <v>183.771244901253</v>
      </c>
      <c r="Y547" s="4">
        <f t="shared" si="496"/>
        <v>-1.56535475221299</v>
      </c>
      <c r="Z547" t="str">
        <f t="shared" si="483"/>
        <v>-30,0358690873928+38,0663371365014i</v>
      </c>
      <c r="AA547" s="4">
        <f t="shared" si="497"/>
        <v>48.4891684278539</v>
      </c>
      <c r="AB547" s="4">
        <f t="shared" si="498"/>
        <v>2.23881862618793</v>
      </c>
      <c r="AC547" s="67" t="str">
        <f t="shared" si="499"/>
        <v>-1,24988418054575+0,985703245410827i</v>
      </c>
      <c r="AD547" s="68">
        <f t="shared" si="500"/>
        <v>4.03775991671463</v>
      </c>
      <c r="AE547" s="31">
        <f t="shared" si="501"/>
        <v>141.739427950565</v>
      </c>
      <c r="AF547" s="32" t="str">
        <f t="shared" si="502"/>
        <v>748,315388573934</v>
      </c>
      <c r="AG547" s="32" t="str">
        <f t="shared" si="484"/>
        <v>1+60983,925037072i</v>
      </c>
      <c r="AH547" s="32">
        <f t="shared" si="503"/>
        <v>60983.9250452709</v>
      </c>
      <c r="AI547" s="32">
        <f t="shared" si="504"/>
        <v>1.57077992903107</v>
      </c>
      <c r="AJ547" s="32" t="str">
        <f t="shared" si="485"/>
        <v>1+192,099363866777i</v>
      </c>
      <c r="AK547" s="32">
        <f t="shared" si="505"/>
        <v>192.101966668799</v>
      </c>
      <c r="AL547" s="32">
        <f t="shared" si="506"/>
        <v>1.56559073450597</v>
      </c>
      <c r="AM547" s="32" t="str">
        <f t="shared" si="486"/>
        <v>1-32,7428026515443i</v>
      </c>
      <c r="AN547" s="32">
        <f t="shared" si="507"/>
        <v>32.7580696238038</v>
      </c>
      <c r="AO547" s="32">
        <f t="shared" si="508"/>
        <v>-1.54026475423264</v>
      </c>
      <c r="AP547" s="30" t="str">
        <f t="shared" si="509"/>
        <v>1,95668219640487-77,193359344746i</v>
      </c>
      <c r="AQ547" s="32">
        <f t="shared" si="510"/>
        <v>37.7543883189914</v>
      </c>
      <c r="AR547" s="31">
        <f t="shared" si="511"/>
        <v>-88.5479886956464</v>
      </c>
      <c r="AS547" t="str">
        <f t="shared" si="487"/>
        <v>-0,0000504684572142411</v>
      </c>
      <c r="AT547" t="str">
        <f t="shared" si="488"/>
        <v>2,75285249112658i</v>
      </c>
      <c r="AU547">
        <f t="shared" si="512"/>
        <v>2.75285249112658</v>
      </c>
      <c r="AV547">
        <f t="shared" si="513"/>
        <v>1.5707963267949</v>
      </c>
      <c r="AW547" t="str">
        <f t="shared" si="489"/>
        <v>1+140,94099831397i</v>
      </c>
      <c r="AX547">
        <f t="shared" si="514"/>
        <v>140.944545853107</v>
      </c>
      <c r="AY547">
        <f t="shared" si="515"/>
        <v>1.56370127828522</v>
      </c>
      <c r="AZ547" t="str">
        <f t="shared" si="490"/>
        <v>1+6738,17921726575i</v>
      </c>
      <c r="BA547">
        <f t="shared" si="516"/>
        <v>6738.17929146977</v>
      </c>
      <c r="BB547">
        <f t="shared" si="517"/>
        <v>1.57064791875165</v>
      </c>
      <c r="BC547" s="30" t="str">
        <f t="shared" si="518"/>
        <v>-6,08839338114631E-06+0,000876437391109471i</v>
      </c>
      <c r="BD547" s="32">
        <f t="shared" si="519"/>
        <v>-61.1453724775494</v>
      </c>
      <c r="BE547" s="31">
        <f t="shared" si="520"/>
        <v>90.3980131805211</v>
      </c>
      <c r="BF547" s="30" t="str">
        <f t="shared" si="521"/>
        <v>-0,00085629739424397-0,00110144657950165i</v>
      </c>
      <c r="BG547" s="68">
        <f t="shared" si="522"/>
        <v>-57.1076125608347</v>
      </c>
      <c r="BH547" s="31">
        <f t="shared" si="523"/>
        <v>-127.862558868914</v>
      </c>
      <c r="BI547" s="30" t="str">
        <f t="shared" si="476"/>
        <v>0,0676432334241515+0,00218489297755043i</v>
      </c>
      <c r="BJ547" s="68">
        <f t="shared" si="524"/>
        <v>-23.390984158558</v>
      </c>
      <c r="BK547" s="31">
        <f t="shared" si="477"/>
        <v>1.85002448487478</v>
      </c>
      <c r="BL547" s="32">
        <f t="shared" si="525"/>
        <v>-57.1076125608347</v>
      </c>
      <c r="BM547" s="31">
        <f t="shared" si="526"/>
        <v>-127.862558868914</v>
      </c>
      <c r="BO547">
        <f t="shared" si="527"/>
        <v>0</v>
      </c>
      <c r="BP547">
        <f t="shared" si="528"/>
        <v>0</v>
      </c>
    </row>
    <row r="548" spans="14:68">
      <c r="N548" s="7">
        <v>30</v>
      </c>
      <c r="O548" s="18">
        <f t="shared" si="478"/>
        <v>1995262.31496888</v>
      </c>
      <c r="P548" s="86" t="str">
        <f t="shared" si="479"/>
        <v>163,636363636364</v>
      </c>
      <c r="Q548" s="4" t="str">
        <f t="shared" si="480"/>
        <v>1+76587,2465713495i</v>
      </c>
      <c r="R548" s="4">
        <f t="shared" si="491"/>
        <v>76587.246577878</v>
      </c>
      <c r="S548" s="4">
        <f t="shared" si="492"/>
        <v>1.5707832697907</v>
      </c>
      <c r="T548" s="4" t="str">
        <f t="shared" si="481"/>
        <v>1+196,573932866464i</v>
      </c>
      <c r="U548" s="4">
        <f t="shared" si="493"/>
        <v>196.576476422254</v>
      </c>
      <c r="V548" s="4">
        <f t="shared" si="494"/>
        <v>1.56570922618493</v>
      </c>
      <c r="W548" t="str">
        <f t="shared" si="482"/>
        <v>1-188,049042920724i</v>
      </c>
      <c r="X548" s="4">
        <f t="shared" si="495"/>
        <v>188.051701782782</v>
      </c>
      <c r="Y548" s="4">
        <f t="shared" si="496"/>
        <v>-1.56547861521056</v>
      </c>
      <c r="Z548" t="str">
        <f t="shared" si="483"/>
        <v>-31,4985445349795+38,9530160335786i</v>
      </c>
      <c r="AA548" s="4">
        <f t="shared" si="497"/>
        <v>50.0948676606129</v>
      </c>
      <c r="AB548" s="4">
        <f t="shared" si="498"/>
        <v>2.25077684704222</v>
      </c>
      <c r="AC548" s="67" t="str">
        <f t="shared" si="499"/>
        <v>-1,22623116864471+0,991072205521854i</v>
      </c>
      <c r="AD548" s="68">
        <f t="shared" si="500"/>
        <v>3.95477888320221</v>
      </c>
      <c r="AE548" s="31">
        <f t="shared" si="501"/>
        <v>141.053947185493</v>
      </c>
      <c r="AF548" s="32" t="str">
        <f t="shared" si="502"/>
        <v>748,315388573934</v>
      </c>
      <c r="AG548" s="32" t="str">
        <f t="shared" si="484"/>
        <v>1+62404,4231322107i</v>
      </c>
      <c r="AH548" s="32">
        <f t="shared" si="503"/>
        <v>62404.423140223</v>
      </c>
      <c r="AI548" s="32">
        <f t="shared" si="504"/>
        <v>1.57078030228975</v>
      </c>
      <c r="AJ548" s="32" t="str">
        <f t="shared" si="485"/>
        <v>1+196,573932866464i</v>
      </c>
      <c r="AK548" s="32">
        <f t="shared" si="505"/>
        <v>196.576476422254</v>
      </c>
      <c r="AL548" s="32">
        <f t="shared" si="506"/>
        <v>1.56570922618493</v>
      </c>
      <c r="AM548" s="32" t="str">
        <f t="shared" si="486"/>
        <v>1-33,505480500957i</v>
      </c>
      <c r="AN548" s="32">
        <f t="shared" si="507"/>
        <v>33.5204001109773</v>
      </c>
      <c r="AO548" s="32">
        <f t="shared" si="508"/>
        <v>-1.5409593204766</v>
      </c>
      <c r="AP548" s="30" t="str">
        <f t="shared" si="509"/>
        <v>1,9566821873725-78,9908600092904i</v>
      </c>
      <c r="AQ548" s="32">
        <f t="shared" si="510"/>
        <v>37.954200867441</v>
      </c>
      <c r="AR548" s="31">
        <f t="shared" si="511"/>
        <v>-88.581016723052</v>
      </c>
      <c r="AS548" t="str">
        <f t="shared" si="487"/>
        <v>-0,0000504684572142411</v>
      </c>
      <c r="AT548" t="str">
        <f t="shared" si="488"/>
        <v>2,81697466295244i</v>
      </c>
      <c r="AU548">
        <f t="shared" si="512"/>
        <v>2.81697466295244</v>
      </c>
      <c r="AV548">
        <f t="shared" si="513"/>
        <v>1.5707963267949</v>
      </c>
      <c r="AW548" t="str">
        <f t="shared" si="489"/>
        <v>1+144,223935899739i</v>
      </c>
      <c r="AX548">
        <f t="shared" si="514"/>
        <v>144.22740268899</v>
      </c>
      <c r="AY548">
        <f t="shared" si="515"/>
        <v>1.56386277607045</v>
      </c>
      <c r="AZ548" t="str">
        <f t="shared" si="490"/>
        <v>1+6895,13157375987i</v>
      </c>
      <c r="BA548">
        <f t="shared" si="516"/>
        <v>6895.1316462748</v>
      </c>
      <c r="BB548">
        <f t="shared" si="517"/>
        <v>1.5706512969311</v>
      </c>
      <c r="BC548" s="30" t="str">
        <f t="shared" si="518"/>
        <v>-5,81438371297413E-06+0,000856489140319964i</v>
      </c>
      <c r="BD548" s="32">
        <f t="shared" si="519"/>
        <v>-61.3453626423706</v>
      </c>
      <c r="BE548" s="31">
        <f t="shared" si="520"/>
        <v>90.3889535944518</v>
      </c>
      <c r="BF548" s="30" t="str">
        <f t="shared" si="521"/>
        <v>-0,000841712802767114-0,00105601615355622i</v>
      </c>
      <c r="BG548" s="68">
        <f t="shared" si="522"/>
        <v>-57.3905837591684</v>
      </c>
      <c r="BH548" s="31">
        <f t="shared" si="523"/>
        <v>-128.557099220055</v>
      </c>
      <c r="BI548" s="30" t="str">
        <f t="shared" si="476"/>
        <v>0,06764343688145+0,0021351602144539i</v>
      </c>
      <c r="BJ548" s="68">
        <f t="shared" si="524"/>
        <v>-23.3911617749297</v>
      </c>
      <c r="BK548" s="31">
        <f t="shared" si="477"/>
        <v>1.80793687139989</v>
      </c>
      <c r="BL548" s="32">
        <f t="shared" si="525"/>
        <v>-57.3905837591684</v>
      </c>
      <c r="BM548" s="31">
        <f t="shared" si="526"/>
        <v>-128.557099220055</v>
      </c>
      <c r="BO548">
        <f t="shared" si="527"/>
        <v>0</v>
      </c>
      <c r="BP548">
        <f t="shared" si="528"/>
        <v>0</v>
      </c>
    </row>
    <row r="549" spans="14:68">
      <c r="N549" s="7">
        <v>31</v>
      </c>
      <c r="O549" s="18">
        <f t="shared" si="478"/>
        <v>2041737.94466953</v>
      </c>
      <c r="P549" s="86" t="str">
        <f t="shared" si="479"/>
        <v>163,636363636364</v>
      </c>
      <c r="Q549" s="4" t="str">
        <f t="shared" si="480"/>
        <v>1+78371,1927145399i</v>
      </c>
      <c r="R549" s="4">
        <f t="shared" si="491"/>
        <v>78371.1927209198</v>
      </c>
      <c r="S549" s="4">
        <f t="shared" si="492"/>
        <v>1.5707835670044</v>
      </c>
      <c r="T549" s="4" t="str">
        <f t="shared" si="481"/>
        <v>1+201,152727967319i</v>
      </c>
      <c r="U549" s="4">
        <f t="shared" si="493"/>
        <v>201.155213625435</v>
      </c>
      <c r="V549" s="4">
        <f t="shared" si="494"/>
        <v>1.56582502080203</v>
      </c>
      <c r="W549" t="str">
        <f t="shared" si="482"/>
        <v>1-192,429267825879i</v>
      </c>
      <c r="X549" s="4">
        <f t="shared" si="495"/>
        <v>192.431866165674</v>
      </c>
      <c r="Y549" s="4">
        <f t="shared" si="496"/>
        <v>-1.56559965889975</v>
      </c>
      <c r="Z549" t="str">
        <f t="shared" si="483"/>
        <v>-33,0301537526804+39,8603483353607i</v>
      </c>
      <c r="AA549" s="4">
        <f t="shared" si="497"/>
        <v>51.7671558649111</v>
      </c>
      <c r="AB549" s="4">
        <f t="shared" si="498"/>
        <v>2.2627624520068</v>
      </c>
      <c r="AC549" s="67" t="str">
        <f t="shared" si="499"/>
        <v>-1,2024023092417+0,995884111460785i</v>
      </c>
      <c r="AD549" s="68">
        <f t="shared" si="500"/>
        <v>3.86954686831278</v>
      </c>
      <c r="AE549" s="31">
        <f t="shared" si="501"/>
        <v>140.366904827344</v>
      </c>
      <c r="AF549" s="32" t="str">
        <f t="shared" si="502"/>
        <v>748,315388573934</v>
      </c>
      <c r="AG549" s="32" t="str">
        <f t="shared" si="484"/>
        <v>1+63858,008878514i</v>
      </c>
      <c r="AH549" s="32">
        <f t="shared" si="503"/>
        <v>63858.0088863439</v>
      </c>
      <c r="AI549" s="32">
        <f t="shared" si="504"/>
        <v>1.57078066705202</v>
      </c>
      <c r="AJ549" s="32" t="str">
        <f t="shared" si="485"/>
        <v>1+201,152727967319i</v>
      </c>
      <c r="AK549" s="32">
        <f t="shared" si="505"/>
        <v>201.155213625435</v>
      </c>
      <c r="AL549" s="32">
        <f t="shared" si="506"/>
        <v>1.56582502080203</v>
      </c>
      <c r="AM549" s="32" t="str">
        <f t="shared" si="486"/>
        <v>1-34,2859233996287i</v>
      </c>
      <c r="AN549" s="32">
        <f t="shared" si="507"/>
        <v>34.3005035439016</v>
      </c>
      <c r="AO549" s="32">
        <f t="shared" si="508"/>
        <v>-1.54163810428951</v>
      </c>
      <c r="AP549" s="30" t="str">
        <f t="shared" si="509"/>
        <v>1,95668217874668-80,8302426733792i</v>
      </c>
      <c r="AQ549" s="32">
        <f t="shared" si="510"/>
        <v>38.1540218454618</v>
      </c>
      <c r="AR549" s="31">
        <f t="shared" si="511"/>
        <v>-88.6132945272221</v>
      </c>
      <c r="AS549" t="str">
        <f t="shared" si="487"/>
        <v>-0,0000504684572142411</v>
      </c>
      <c r="AT549" t="str">
        <f t="shared" si="488"/>
        <v>2,88259043203168i</v>
      </c>
      <c r="AU549">
        <f t="shared" si="512"/>
        <v>2.88259043203168</v>
      </c>
      <c r="AV549">
        <f t="shared" si="513"/>
        <v>1.5707963267949</v>
      </c>
      <c r="AW549" t="str">
        <f t="shared" si="489"/>
        <v>1+147,583342925352i</v>
      </c>
      <c r="AX549">
        <f t="shared" si="514"/>
        <v>147.586730802678</v>
      </c>
      <c r="AY549">
        <f t="shared" si="515"/>
        <v>1.56402059806676</v>
      </c>
      <c r="AZ549" t="str">
        <f t="shared" si="490"/>
        <v>1+7055,73982028222i</v>
      </c>
      <c r="BA549">
        <f t="shared" si="516"/>
        <v>7055.73989114651</v>
      </c>
      <c r="BB549">
        <f t="shared" si="517"/>
        <v>1.5706545982138</v>
      </c>
      <c r="BC549" s="30" t="str">
        <f t="shared" si="518"/>
        <v>-5,55270535232609E-06+0,000836994840353827i</v>
      </c>
      <c r="BD549" s="32">
        <f t="shared" si="519"/>
        <v>-61.5453532498272</v>
      </c>
      <c r="BE549" s="31">
        <f t="shared" si="520"/>
        <v>90.3801002097145</v>
      </c>
      <c r="BF549" s="30" t="str">
        <f t="shared" si="521"/>
        <v>-0,000826873277144857-0,00101193437990083i</v>
      </c>
      <c r="BG549" s="68">
        <f t="shared" si="522"/>
        <v>-57.6758063815144</v>
      </c>
      <c r="BH549" s="31">
        <f t="shared" si="523"/>
        <v>-129.252994962942</v>
      </c>
      <c r="BI549" s="30" t="str">
        <f t="shared" si="476"/>
        <v>0,0676436311825594+0,00208655940894554i</v>
      </c>
      <c r="BJ549" s="68">
        <f t="shared" si="524"/>
        <v>-23.3913314043654</v>
      </c>
      <c r="BK549" s="31">
        <f t="shared" si="477"/>
        <v>1.76680568249238</v>
      </c>
      <c r="BL549" s="32">
        <f t="shared" si="525"/>
        <v>-57.6758063815144</v>
      </c>
      <c r="BM549" s="31">
        <f t="shared" si="526"/>
        <v>-129.252994962942</v>
      </c>
      <c r="BO549">
        <f t="shared" si="527"/>
        <v>0</v>
      </c>
      <c r="BP549">
        <f t="shared" si="528"/>
        <v>0</v>
      </c>
    </row>
    <row r="550" spans="14:68">
      <c r="N550" s="7">
        <v>32</v>
      </c>
      <c r="O550" s="18">
        <f t="shared" si="478"/>
        <v>2089296.13085404</v>
      </c>
      <c r="P550" s="86" t="str">
        <f t="shared" si="479"/>
        <v>163,636363636364</v>
      </c>
      <c r="Q550" s="4" t="str">
        <f t="shared" si="480"/>
        <v>1+80196,6923014736i</v>
      </c>
      <c r="R550" s="4">
        <f t="shared" si="491"/>
        <v>80196.6923077083</v>
      </c>
      <c r="S550" s="4">
        <f t="shared" si="492"/>
        <v>1.57078385745269</v>
      </c>
      <c r="T550" s="4" t="str">
        <f t="shared" si="481"/>
        <v>1+205,838176907116i</v>
      </c>
      <c r="U550" s="4">
        <f t="shared" si="493"/>
        <v>205.840605985421</v>
      </c>
      <c r="V550" s="4">
        <f t="shared" si="494"/>
        <v>1.56593817974066</v>
      </c>
      <c r="W550" t="str">
        <f t="shared" si="482"/>
        <v>1-196,91152127594i</v>
      </c>
      <c r="X550" s="4">
        <f t="shared" si="495"/>
        <v>196.914060471072</v>
      </c>
      <c r="Y550" s="4">
        <f t="shared" si="496"/>
        <v>-1.56571794744533</v>
      </c>
      <c r="Z550" t="str">
        <f t="shared" si="483"/>
        <v>-34,6339454889935+40,7888151214446i</v>
      </c>
      <c r="AA550" s="4">
        <f t="shared" si="497"/>
        <v>53.5092292894035</v>
      </c>
      <c r="AB550" s="4">
        <f t="shared" si="498"/>
        <v>2.27476997847656</v>
      </c>
      <c r="AC550" s="67" t="str">
        <f t="shared" si="499"/>
        <v>-1,17842143166222+1,0001305001049i</v>
      </c>
      <c r="AD550" s="68">
        <f t="shared" si="500"/>
        <v>3.78204894640012</v>
      </c>
      <c r="AE550" s="31">
        <f t="shared" si="501"/>
        <v>139.678613691945</v>
      </c>
      <c r="AF550" s="32" t="str">
        <f t="shared" si="502"/>
        <v>748,315388573934</v>
      </c>
      <c r="AG550" s="32" t="str">
        <f t="shared" si="484"/>
        <v>1+65345,4529863859i</v>
      </c>
      <c r="AH550" s="32">
        <f t="shared" si="503"/>
        <v>65345.4529940375</v>
      </c>
      <c r="AI550" s="32">
        <f t="shared" si="504"/>
        <v>1.57078102351128</v>
      </c>
      <c r="AJ550" s="32" t="str">
        <f t="shared" si="485"/>
        <v>1+205,838176907116i</v>
      </c>
      <c r="AK550" s="32">
        <f t="shared" si="505"/>
        <v>205.840605985421</v>
      </c>
      <c r="AL550" s="32">
        <f t="shared" si="506"/>
        <v>1.56593817974066</v>
      </c>
      <c r="AM550" s="32" t="str">
        <f t="shared" si="486"/>
        <v>1-35,0845451487149i</v>
      </c>
      <c r="AN550" s="32">
        <f t="shared" si="507"/>
        <v>35.098793544682</v>
      </c>
      <c r="AO550" s="32">
        <f t="shared" si="508"/>
        <v>-1.54230146306812</v>
      </c>
      <c r="AP550" s="30" t="str">
        <f t="shared" si="509"/>
        <v>1,95668217050907-82,7124826020488i</v>
      </c>
      <c r="AQ550" s="32">
        <f t="shared" si="510"/>
        <v>38.3538508742882</v>
      </c>
      <c r="AR550" s="31">
        <f t="shared" si="511"/>
        <v>-88.6448390795528</v>
      </c>
      <c r="AS550" t="str">
        <f t="shared" si="487"/>
        <v>-0,0000504684572142411</v>
      </c>
      <c r="AT550" t="str">
        <f t="shared" si="488"/>
        <v>2,94973458871357i</v>
      </c>
      <c r="AU550">
        <f t="shared" si="512"/>
        <v>2.94973458871357</v>
      </c>
      <c r="AV550">
        <f t="shared" si="513"/>
        <v>1.5707963267949</v>
      </c>
      <c r="AW550" t="str">
        <f t="shared" si="489"/>
        <v>1+151,021000592881i</v>
      </c>
      <c r="AX550">
        <f t="shared" si="514"/>
        <v>151.024311354414</v>
      </c>
      <c r="AY550">
        <f t="shared" si="515"/>
        <v>1.56417482792201</v>
      </c>
      <c r="AZ550" t="str">
        <f t="shared" si="490"/>
        <v>1+7220,08911345111i</v>
      </c>
      <c r="BA550">
        <f t="shared" si="516"/>
        <v>7220.08918270233</v>
      </c>
      <c r="BB550">
        <f t="shared" si="517"/>
        <v>1.57065782435014</v>
      </c>
      <c r="BC550" s="30" t="str">
        <f t="shared" si="518"/>
        <v>-5,30280340091613E-06+0,000817944166491396i</v>
      </c>
      <c r="BD550" s="32">
        <f t="shared" si="519"/>
        <v>-61.7453442799988</v>
      </c>
      <c r="BE550" s="31">
        <f t="shared" si="520"/>
        <v>90.3714483339301</v>
      </c>
      <c r="BF550" s="30" t="str">
        <f t="shared" si="521"/>
        <v>-0,000811801971115394-0,000969186431113868i</v>
      </c>
      <c r="BG550" s="68">
        <f t="shared" si="522"/>
        <v>-57.9632953335987</v>
      </c>
      <c r="BH550" s="31">
        <f t="shared" si="523"/>
        <v>-129.949937974125</v>
      </c>
      <c r="BI550" s="30" t="str">
        <f t="shared" si="476"/>
        <v>0,0676438167394986+0,00203906480108598i</v>
      </c>
      <c r="BJ550" s="68">
        <f t="shared" si="524"/>
        <v>-23.3914934057106</v>
      </c>
      <c r="BK550" s="31">
        <f t="shared" si="477"/>
        <v>1.7266092543773</v>
      </c>
      <c r="BL550" s="32">
        <f t="shared" si="525"/>
        <v>-57.9632953335987</v>
      </c>
      <c r="BM550" s="31">
        <f t="shared" si="526"/>
        <v>-129.949937974125</v>
      </c>
      <c r="BO550">
        <f t="shared" si="527"/>
        <v>0</v>
      </c>
      <c r="BP550">
        <f t="shared" si="528"/>
        <v>0</v>
      </c>
    </row>
    <row r="551" spans="14:68">
      <c r="N551" s="7">
        <v>33</v>
      </c>
      <c r="O551" s="18">
        <f t="shared" si="478"/>
        <v>2137962.08950224</v>
      </c>
      <c r="P551" s="86" t="str">
        <f t="shared" si="479"/>
        <v>163,636363636364</v>
      </c>
      <c r="Q551" s="4" t="str">
        <f t="shared" si="480"/>
        <v>1+82064,7132361937i</v>
      </c>
      <c r="R551" s="4">
        <f t="shared" si="491"/>
        <v>82064.7132422865</v>
      </c>
      <c r="S551" s="4">
        <f t="shared" si="492"/>
        <v>1.57078414128957</v>
      </c>
      <c r="T551" s="4" t="str">
        <f t="shared" si="481"/>
        <v>1+210,632763972897i</v>
      </c>
      <c r="U551" s="4">
        <f t="shared" si="493"/>
        <v>210.635137759259</v>
      </c>
      <c r="V551" s="4">
        <f t="shared" si="494"/>
        <v>1.5660487629876</v>
      </c>
      <c r="W551" t="str">
        <f t="shared" si="482"/>
        <v>1-201,498179821011i</v>
      </c>
      <c r="X551" s="4">
        <f t="shared" si="495"/>
        <v>201.500661217725</v>
      </c>
      <c r="Y551" s="4">
        <f t="shared" si="496"/>
        <v>-1.56583354355221</v>
      </c>
      <c r="Z551" t="str">
        <f t="shared" si="483"/>
        <v>-36,3133216012146+41,7389086772094i</v>
      </c>
      <c r="AA551" s="4">
        <f t="shared" si="497"/>
        <v>55.324441463766</v>
      </c>
      <c r="AB551" s="4">
        <f t="shared" si="498"/>
        <v>2.28679386480886</v>
      </c>
      <c r="AC551" s="67" t="str">
        <f t="shared" si="499"/>
        <v>-1,15431297383879+1,00380422045703i</v>
      </c>
      <c r="AD551" s="68">
        <f t="shared" si="500"/>
        <v>3.69227244421326</v>
      </c>
      <c r="AE551" s="31">
        <f t="shared" si="501"/>
        <v>138.989392273385</v>
      </c>
      <c r="AF551" s="32" t="str">
        <f t="shared" si="502"/>
        <v>748,315388573934</v>
      </c>
      <c r="AG551" s="32" t="str">
        <f t="shared" si="484"/>
        <v>1+66867,54411838i</v>
      </c>
      <c r="AH551" s="32">
        <f t="shared" si="503"/>
        <v>66867.5441258575</v>
      </c>
      <c r="AI551" s="32">
        <f t="shared" si="504"/>
        <v>1.57078137185655</v>
      </c>
      <c r="AJ551" s="32" t="str">
        <f t="shared" si="485"/>
        <v>1+210,632763972897i</v>
      </c>
      <c r="AK551" s="32">
        <f t="shared" si="505"/>
        <v>210.635137759259</v>
      </c>
      <c r="AL551" s="32">
        <f t="shared" si="506"/>
        <v>1.5660487629876</v>
      </c>
      <c r="AM551" s="32" t="str">
        <f t="shared" si="486"/>
        <v>1-35,9017691880376i</v>
      </c>
      <c r="AN551" s="32">
        <f t="shared" si="507"/>
        <v>35.9156933781199</v>
      </c>
      <c r="AO551" s="32">
        <f t="shared" si="508"/>
        <v>-1.54294974619742</v>
      </c>
      <c r="AP551" s="30" t="str">
        <f t="shared" si="509"/>
        <v>1,95668216264222-84,6385777838223i</v>
      </c>
      <c r="AQ551" s="32">
        <f t="shared" si="510"/>
        <v>38.5536875921466</v>
      </c>
      <c r="AR551" s="31">
        <f t="shared" si="511"/>
        <v>-88.6756669721705</v>
      </c>
      <c r="AS551" t="str">
        <f t="shared" si="487"/>
        <v>-0,0000504684572142411</v>
      </c>
      <c r="AT551" t="str">
        <f t="shared" si="488"/>
        <v>3,01844273371875i</v>
      </c>
      <c r="AU551">
        <f t="shared" si="512"/>
        <v>3.01844273371875</v>
      </c>
      <c r="AV551">
        <f t="shared" si="513"/>
        <v>1.5707963267949</v>
      </c>
      <c r="AW551" t="str">
        <f t="shared" si="489"/>
        <v>1+154,538731593922i</v>
      </c>
      <c r="AX551">
        <f t="shared" si="514"/>
        <v>154.541966994918</v>
      </c>
      <c r="AY551">
        <f t="shared" si="515"/>
        <v>1.56432554738153</v>
      </c>
      <c r="AZ551" t="str">
        <f t="shared" si="490"/>
        <v>1+7388,26659343706i</v>
      </c>
      <c r="BA551">
        <f t="shared" si="516"/>
        <v>7388.26666111193</v>
      </c>
      <c r="BB551">
        <f t="shared" si="517"/>
        <v>1.57066097705064</v>
      </c>
      <c r="BC551" s="30" t="str">
        <f t="shared" si="518"/>
        <v>-5,06414792602326E-06+0,000799327028467558i</v>
      </c>
      <c r="BD551" s="32">
        <f t="shared" si="519"/>
        <v>-61.9453357138618</v>
      </c>
      <c r="BE551" s="31">
        <f t="shared" si="520"/>
        <v>90.3629933814422</v>
      </c>
      <c r="BF551" s="30" t="str">
        <f t="shared" si="521"/>
        <v>-0,000796522233048664-0,000927756972361271i</v>
      </c>
      <c r="BG551" s="68">
        <f t="shared" si="522"/>
        <v>-58.2530632696486</v>
      </c>
      <c r="BH551" s="31">
        <f t="shared" si="523"/>
        <v>-130.647614345173</v>
      </c>
      <c r="BI551" s="30" t="str">
        <f t="shared" si="476"/>
        <v>0,0676439939457471+0,00199265121686578i</v>
      </c>
      <c r="BJ551" s="68">
        <f t="shared" si="524"/>
        <v>-23.3916481217153</v>
      </c>
      <c r="BK551" s="31">
        <f t="shared" si="477"/>
        <v>1.68732640927161</v>
      </c>
      <c r="BL551" s="32">
        <f t="shared" si="525"/>
        <v>-58.2530632696486</v>
      </c>
      <c r="BM551" s="31">
        <f t="shared" si="526"/>
        <v>-130.647614345173</v>
      </c>
      <c r="BO551">
        <f t="shared" si="527"/>
        <v>0</v>
      </c>
      <c r="BP551">
        <f t="shared" si="528"/>
        <v>0</v>
      </c>
    </row>
    <row r="552" spans="14:68">
      <c r="N552" s="7">
        <v>34</v>
      </c>
      <c r="O552" s="18">
        <f t="shared" si="478"/>
        <v>2187761.62394956</v>
      </c>
      <c r="P552" s="86" t="str">
        <f t="shared" si="479"/>
        <v>163,636363636364</v>
      </c>
      <c r="Q552" s="4" t="str">
        <f t="shared" si="480"/>
        <v>1+83976,2459681267i</v>
      </c>
      <c r="R552" s="4">
        <f t="shared" si="491"/>
        <v>83976.2459740808</v>
      </c>
      <c r="S552" s="4">
        <f t="shared" si="492"/>
        <v>1.57078441866554</v>
      </c>
      <c r="T552" s="4" t="str">
        <f t="shared" si="481"/>
        <v>1+215,539031318192i</v>
      </c>
      <c r="U552" s="4">
        <f t="shared" si="493"/>
        <v>215.541351071168</v>
      </c>
      <c r="V552" s="4">
        <f t="shared" si="494"/>
        <v>1.56615682916472</v>
      </c>
      <c r="W552" t="str">
        <f t="shared" si="482"/>
        <v>1-206,191675368168i</v>
      </c>
      <c r="X552" s="4">
        <f t="shared" si="495"/>
        <v>206.194100282069</v>
      </c>
      <c r="Y552" s="4">
        <f t="shared" si="496"/>
        <v>-1.56594650849861</v>
      </c>
      <c r="Z552" t="str">
        <f t="shared" si="483"/>
        <v>-38,0718442712361+42,7111327548348i</v>
      </c>
      <c r="AA552" s="4">
        <f t="shared" si="497"/>
        <v>57.2163105015902</v>
      </c>
      <c r="AB552" s="4">
        <f t="shared" si="498"/>
        <v>2.29882846515705</v>
      </c>
      <c r="AC552" s="67" t="str">
        <f t="shared" si="499"/>
        <v>-1,13010188685406+1,00689948297271i</v>
      </c>
      <c r="AD552" s="68">
        <f t="shared" si="500"/>
        <v>3.6002069949106</v>
      </c>
      <c r="AE552" s="31">
        <f t="shared" si="501"/>
        <v>138.299563894031</v>
      </c>
      <c r="AF552" s="32" t="str">
        <f t="shared" si="502"/>
        <v>748,315388573934</v>
      </c>
      <c r="AG552" s="32" t="str">
        <f t="shared" si="484"/>
        <v>1+68425,0893073625i</v>
      </c>
      <c r="AH552" s="32">
        <f t="shared" si="503"/>
        <v>68425.0893146698</v>
      </c>
      <c r="AI552" s="32">
        <f t="shared" si="504"/>
        <v>1.5707817122725</v>
      </c>
      <c r="AJ552" s="32" t="str">
        <f t="shared" si="485"/>
        <v>1+215,539031318192i</v>
      </c>
      <c r="AK552" s="32">
        <f t="shared" si="505"/>
        <v>215.541351071168</v>
      </c>
      <c r="AL552" s="32">
        <f t="shared" si="506"/>
        <v>1.56615682916472</v>
      </c>
      <c r="AM552" s="32" t="str">
        <f t="shared" si="486"/>
        <v>1-36,7380288206i</v>
      </c>
      <c r="AN552" s="32">
        <f t="shared" si="507"/>
        <v>36.7516361761383</v>
      </c>
      <c r="AO552" s="32">
        <f t="shared" si="508"/>
        <v>-1.54358329522485</v>
      </c>
      <c r="AP552" s="30" t="str">
        <f t="shared" si="509"/>
        <v>1,95668215512943-86,6095494598612i</v>
      </c>
      <c r="AQ552" s="32">
        <f t="shared" si="510"/>
        <v>38.7535316534957</v>
      </c>
      <c r="AR552" s="31">
        <f t="shared" si="511"/>
        <v>-88.7057944260969</v>
      </c>
      <c r="AS552" t="str">
        <f t="shared" si="487"/>
        <v>-0,0000504684572142411</v>
      </c>
      <c r="AT552" t="str">
        <f t="shared" si="488"/>
        <v>3,08875129701516i</v>
      </c>
      <c r="AU552">
        <f t="shared" si="512"/>
        <v>3.08875129701516</v>
      </c>
      <c r="AV552">
        <f t="shared" si="513"/>
        <v>1.5707963267949</v>
      </c>
      <c r="AW552" t="str">
        <f t="shared" si="489"/>
        <v>1+158,138401076017i</v>
      </c>
      <c r="AX552">
        <f t="shared" si="514"/>
        <v>158.141562831784</v>
      </c>
      <c r="AY552">
        <f t="shared" si="515"/>
        <v>1.56447283633138</v>
      </c>
      <c r="AZ552" t="str">
        <f t="shared" si="490"/>
        <v>1+7560,36143016615i</v>
      </c>
      <c r="BA552">
        <f t="shared" si="516"/>
        <v>7560.36149630055</v>
      </c>
      <c r="BB552">
        <f t="shared" si="517"/>
        <v>1.57066405798693</v>
      </c>
      <c r="BC552" s="30" t="str">
        <f t="shared" si="518"/>
        <v>-4,83623283764487E-06+0,0007811335651726i</v>
      </c>
      <c r="BD552" s="32">
        <f t="shared" si="519"/>
        <v>-62.1453275332488</v>
      </c>
      <c r="BE552" s="31">
        <f t="shared" si="520"/>
        <v>90.3547308708932</v>
      </c>
      <c r="BF552" s="30" t="str">
        <f t="shared" si="521"/>
        <v>-0,000781057547049833-0,000887630116230354i</v>
      </c>
      <c r="BG552" s="68">
        <f t="shared" si="522"/>
        <v>-58.5451205383382</v>
      </c>
      <c r="BH552" s="31">
        <f t="shared" si="523"/>
        <v>-131.345705235076</v>
      </c>
      <c r="BI552" s="30" t="str">
        <f t="shared" si="476"/>
        <v>0,0676441631770825+0,00194729405489727i</v>
      </c>
      <c r="BJ552" s="68">
        <f t="shared" si="524"/>
        <v>-23.3917958797531</v>
      </c>
      <c r="BK552" s="31">
        <f t="shared" si="477"/>
        <v>1.64893644479635</v>
      </c>
      <c r="BL552" s="32">
        <f t="shared" si="525"/>
        <v>-58.5451205383382</v>
      </c>
      <c r="BM552" s="31">
        <f t="shared" si="526"/>
        <v>-131.345705235076</v>
      </c>
      <c r="BO552">
        <f t="shared" si="527"/>
        <v>0</v>
      </c>
      <c r="BP552">
        <f t="shared" si="528"/>
        <v>0</v>
      </c>
    </row>
    <row r="553" spans="14:68">
      <c r="N553" s="7">
        <v>35</v>
      </c>
      <c r="O553" s="18">
        <f t="shared" si="478"/>
        <v>2238721.13856834</v>
      </c>
      <c r="P553" s="86" t="str">
        <f t="shared" si="479"/>
        <v>163,636363636364</v>
      </c>
      <c r="Q553" s="4" t="str">
        <f t="shared" si="480"/>
        <v>1+85932,3040172286i</v>
      </c>
      <c r="R553" s="4">
        <f t="shared" si="491"/>
        <v>85932.3040230471</v>
      </c>
      <c r="S553" s="4">
        <f t="shared" si="492"/>
        <v>1.57078468972766</v>
      </c>
      <c r="T553" s="4" t="str">
        <f t="shared" si="481"/>
        <v>1+220,559580310887i</v>
      </c>
      <c r="U553" s="4">
        <f t="shared" si="493"/>
        <v>220.561847260388</v>
      </c>
      <c r="V553" s="4">
        <f t="shared" si="494"/>
        <v>1.56626243556005</v>
      </c>
      <c r="W553" t="str">
        <f t="shared" si="482"/>
        <v>1-210,994496470874i</v>
      </c>
      <c r="X553" s="4">
        <f t="shared" si="495"/>
        <v>210.996866187623</v>
      </c>
      <c r="Y553" s="4">
        <f t="shared" si="496"/>
        <v>-1.56605690216851</v>
      </c>
      <c r="Z553" t="str">
        <f t="shared" si="483"/>
        <v>-39,91324356141+43,7060028403952i</v>
      </c>
      <c r="AA553" s="4">
        <f t="shared" si="497"/>
        <v>59.1885267250087</v>
      </c>
      <c r="AB553" s="4">
        <f t="shared" si="498"/>
        <v>2.31086806478859</v>
      </c>
      <c r="AC553" s="67" t="str">
        <f t="shared" si="499"/>
        <v>-1,10581353492559+1,00941190060835i</v>
      </c>
      <c r="AD553" s="68">
        <f t="shared" si="500"/>
        <v>3.505844582801</v>
      </c>
      <c r="AE553" s="31">
        <f t="shared" si="501"/>
        <v>137.609455826772</v>
      </c>
      <c r="AF553" s="32" t="str">
        <f t="shared" si="502"/>
        <v>748,315388573934</v>
      </c>
      <c r="AG553" s="32" t="str">
        <f t="shared" si="484"/>
        <v>1+70018,9143844084i</v>
      </c>
      <c r="AH553" s="32">
        <f t="shared" si="503"/>
        <v>70018.9143915493</v>
      </c>
      <c r="AI553" s="32">
        <f t="shared" si="504"/>
        <v>1.57078204493965</v>
      </c>
      <c r="AJ553" s="32" t="str">
        <f t="shared" si="485"/>
        <v>1+220,559580310887i</v>
      </c>
      <c r="AK553" s="32">
        <f t="shared" si="505"/>
        <v>220.561847260388</v>
      </c>
      <c r="AL553" s="32">
        <f t="shared" si="506"/>
        <v>1.56626243556005</v>
      </c>
      <c r="AM553" s="32" t="str">
        <f t="shared" si="486"/>
        <v>1-37,5937674423282i</v>
      </c>
      <c r="AN553" s="32">
        <f t="shared" si="507"/>
        <v>37.607065167437</v>
      </c>
      <c r="AO553" s="32">
        <f t="shared" si="508"/>
        <v>-1.54420244403092</v>
      </c>
      <c r="AP553" s="30" t="str">
        <f t="shared" si="509"/>
        <v>1,95668214795479-88,6264426654364i</v>
      </c>
      <c r="AQ553" s="32">
        <f t="shared" si="510"/>
        <v>38.9533827283002</v>
      </c>
      <c r="AR553" s="31">
        <f t="shared" si="511"/>
        <v>-88.7352372992577</v>
      </c>
      <c r="AS553" t="str">
        <f t="shared" si="487"/>
        <v>-0,0000504684572142411</v>
      </c>
      <c r="AT553" t="str">
        <f t="shared" si="488"/>
        <v>3,1606975571337i</v>
      </c>
      <c r="AU553">
        <f t="shared" si="512"/>
        <v>3.1606975571337</v>
      </c>
      <c r="AV553">
        <f t="shared" si="513"/>
        <v>1.5707963267949</v>
      </c>
      <c r="AW553" t="str">
        <f t="shared" si="489"/>
        <v>1+161,82191763157i</v>
      </c>
      <c r="AX553">
        <f t="shared" si="514"/>
        <v>161.82500741838</v>
      </c>
      <c r="AY553">
        <f t="shared" si="515"/>
        <v>1.56461677284052</v>
      </c>
      <c r="AZ553" t="str">
        <f t="shared" si="490"/>
        <v>1+7736,46487059869i</v>
      </c>
      <c r="BA553">
        <f t="shared" si="516"/>
        <v>7736.46493522769</v>
      </c>
      <c r="BB553">
        <f t="shared" si="517"/>
        <v>1.57066706879255</v>
      </c>
      <c r="BC553" s="30" t="str">
        <f t="shared" si="518"/>
        <v>-4,61857481611823E-06+0,000763354139471194i</v>
      </c>
      <c r="BD553" s="32">
        <f t="shared" si="519"/>
        <v>-62.3453197208095</v>
      </c>
      <c r="BE553" s="31">
        <f t="shared" si="520"/>
        <v>90.3466564228563</v>
      </c>
      <c r="BF553" s="30" t="str">
        <f t="shared" si="521"/>
        <v>-0,000765431470217139-0,000848789383751963i</v>
      </c>
      <c r="BG553" s="68">
        <f t="shared" si="522"/>
        <v>-58.8394751380085</v>
      </c>
      <c r="BH553" s="31">
        <f t="shared" si="523"/>
        <v>-132.043887750371</v>
      </c>
      <c r="BI553" s="30" t="str">
        <f t="shared" si="476"/>
        <v>0,0676443247923756+0,00190296927340741i</v>
      </c>
      <c r="BJ553" s="68">
        <f t="shared" si="524"/>
        <v>-23.3919369925093</v>
      </c>
      <c r="BK553" s="31">
        <f t="shared" si="477"/>
        <v>1.6114191235986</v>
      </c>
      <c r="BL553" s="32">
        <f t="shared" si="525"/>
        <v>-58.8394751380085</v>
      </c>
      <c r="BM553" s="31">
        <f t="shared" si="526"/>
        <v>-132.043887750371</v>
      </c>
      <c r="BO553">
        <f t="shared" si="527"/>
        <v>0</v>
      </c>
      <c r="BP553">
        <f t="shared" si="528"/>
        <v>0</v>
      </c>
    </row>
    <row r="554" spans="14:68">
      <c r="N554" s="7">
        <v>36</v>
      </c>
      <c r="O554" s="18">
        <f t="shared" si="478"/>
        <v>2290867.65276778</v>
      </c>
      <c r="P554" s="86" t="str">
        <f t="shared" si="479"/>
        <v>163,636363636364</v>
      </c>
      <c r="Q554" s="4" t="str">
        <f t="shared" si="480"/>
        <v>1+87933,9245113698i</v>
      </c>
      <c r="R554" s="4">
        <f t="shared" si="491"/>
        <v>87933.9245170559</v>
      </c>
      <c r="S554" s="4">
        <f t="shared" si="492"/>
        <v>1.57078495461965</v>
      </c>
      <c r="T554" s="4" t="str">
        <f t="shared" si="481"/>
        <v>1+225,697072912516i</v>
      </c>
      <c r="U554" s="4">
        <f t="shared" si="493"/>
        <v>225.699288260459</v>
      </c>
      <c r="V554" s="4">
        <f t="shared" si="494"/>
        <v>1.56636563815804</v>
      </c>
      <c r="W554" t="str">
        <f t="shared" si="482"/>
        <v>1-215,909189648453i</v>
      </c>
      <c r="X554" s="4">
        <f t="shared" si="495"/>
        <v>215.911505424448</v>
      </c>
      <c r="Y554" s="4">
        <f t="shared" si="496"/>
        <v>-1.56616478308331</v>
      </c>
      <c r="Z554" t="str">
        <f t="shared" si="483"/>
        <v>-41,8414253265126+44,7240464271795i</v>
      </c>
      <c r="AA554" s="4">
        <f t="shared" si="497"/>
        <v>61.2449606267702</v>
      </c>
      <c r="AB554" s="4">
        <f t="shared" si="498"/>
        <v>2.3229068957955</v>
      </c>
      <c r="AC554" s="67" t="str">
        <f t="shared" si="499"/>
        <v>-1,08147359167659+1,01133852111309i</v>
      </c>
      <c r="AD554" s="68">
        <f t="shared" si="500"/>
        <v>3.40917957842668</v>
      </c>
      <c r="AE554" s="31">
        <f t="shared" si="501"/>
        <v>136.919398394805</v>
      </c>
      <c r="AF554" s="32" t="str">
        <f t="shared" si="502"/>
        <v>748,315388573934</v>
      </c>
      <c r="AG554" s="32" t="str">
        <f t="shared" si="484"/>
        <v>1+71649,8644166717i</v>
      </c>
      <c r="AH554" s="32">
        <f t="shared" si="503"/>
        <v>71649.8644236501</v>
      </c>
      <c r="AI554" s="32">
        <f t="shared" si="504"/>
        <v>1.57078237003436</v>
      </c>
      <c r="AJ554" s="32" t="str">
        <f t="shared" si="485"/>
        <v>1+225,697072912516i</v>
      </c>
      <c r="AK554" s="32">
        <f t="shared" si="505"/>
        <v>225.699288260459</v>
      </c>
      <c r="AL554" s="32">
        <f t="shared" si="506"/>
        <v>1.56636563815804</v>
      </c>
      <c r="AM554" s="32" t="str">
        <f t="shared" si="486"/>
        <v>1-38,4694387771671i</v>
      </c>
      <c r="AN554" s="32">
        <f t="shared" si="507"/>
        <v>38.4824339125036</v>
      </c>
      <c r="AO554" s="32">
        <f t="shared" si="508"/>
        <v>-1.54480751899668</v>
      </c>
      <c r="AP554" s="30" t="str">
        <f t="shared" si="509"/>
        <v>1,95668214110304-90,6903267840232i</v>
      </c>
      <c r="AQ554" s="32">
        <f t="shared" si="510"/>
        <v>39.1532405013371</v>
      </c>
      <c r="AR554" s="31">
        <f t="shared" si="511"/>
        <v>-88.7640110943397</v>
      </c>
      <c r="AS554" t="str">
        <f t="shared" si="487"/>
        <v>-0,0000504684572142411</v>
      </c>
      <c r="AT554" t="str">
        <f t="shared" si="488"/>
        <v>3,23431966093382i</v>
      </c>
      <c r="AU554">
        <f t="shared" si="512"/>
        <v>3.23431966093382</v>
      </c>
      <c r="AV554">
        <f t="shared" si="513"/>
        <v>1.5707963267949</v>
      </c>
      <c r="AW554" t="str">
        <f t="shared" si="489"/>
        <v>1+165,59123430982i</v>
      </c>
      <c r="AX554">
        <f t="shared" si="514"/>
        <v>165.594253765793</v>
      </c>
      <c r="AY554">
        <f t="shared" si="515"/>
        <v>1.56475743320213</v>
      </c>
      <c r="AZ554" t="str">
        <f t="shared" si="490"/>
        <v>1+7916,67028710992i</v>
      </c>
      <c r="BA554">
        <f t="shared" si="516"/>
        <v>7916.67035026778</v>
      </c>
      <c r="BB554">
        <f t="shared" si="517"/>
        <v>1.57067001106386</v>
      </c>
      <c r="BC554" s="30" t="str">
        <f t="shared" si="518"/>
        <v>-4,41071228794218E-06+0,000745979333136888i</v>
      </c>
      <c r="BD554" s="32">
        <f t="shared" si="519"/>
        <v>-62.5453122599749</v>
      </c>
      <c r="BE554" s="31">
        <f t="shared" si="520"/>
        <v>90.3387657575197</v>
      </c>
      <c r="BF554" s="30" t="str">
        <f t="shared" si="521"/>
        <v>-0,000749667566695697-0,000811217671966401i</v>
      </c>
      <c r="BG554" s="68">
        <f t="shared" si="522"/>
        <v>-59.1361326815482</v>
      </c>
      <c r="BH554" s="31">
        <f t="shared" si="523"/>
        <v>-132.741835847676</v>
      </c>
      <c r="BI554" s="30" t="str">
        <f t="shared" si="476"/>
        <v>0,0676444791343487+0,00185965337752469i</v>
      </c>
      <c r="BJ554" s="68">
        <f t="shared" si="524"/>
        <v>-23.3920717586378</v>
      </c>
      <c r="BK554" s="31">
        <f t="shared" si="477"/>
        <v>1.57475466317998</v>
      </c>
      <c r="BL554" s="32">
        <f t="shared" si="525"/>
        <v>-59.1361326815482</v>
      </c>
      <c r="BM554" s="31">
        <f t="shared" si="526"/>
        <v>-132.741835847676</v>
      </c>
      <c r="BO554">
        <f t="shared" si="527"/>
        <v>0</v>
      </c>
      <c r="BP554">
        <f t="shared" si="528"/>
        <v>0</v>
      </c>
    </row>
    <row r="555" spans="14:68">
      <c r="N555" s="7">
        <v>37</v>
      </c>
      <c r="O555" s="18">
        <f t="shared" si="478"/>
        <v>2344228.81531993</v>
      </c>
      <c r="P555" s="86" t="str">
        <f t="shared" si="479"/>
        <v>163,636363636364</v>
      </c>
      <c r="Q555" s="4" t="str">
        <f t="shared" si="480"/>
        <v>1+89982,1687362297i</v>
      </c>
      <c r="R555" s="4">
        <f t="shared" si="491"/>
        <v>89982.1687417863</v>
      </c>
      <c r="S555" s="4">
        <f t="shared" si="492"/>
        <v>1.57078521348196</v>
      </c>
      <c r="T555" s="4" t="str">
        <f t="shared" si="481"/>
        <v>1+230,954233089656i</v>
      </c>
      <c r="U555" s="4">
        <f t="shared" si="493"/>
        <v>230.956398010601</v>
      </c>
      <c r="V555" s="4">
        <f t="shared" si="494"/>
        <v>1.56646649166931</v>
      </c>
      <c r="W555" t="str">
        <f t="shared" si="482"/>
        <v>1-220,938360736278i</v>
      </c>
      <c r="X555" s="4">
        <f t="shared" si="495"/>
        <v>220.940623799322</v>
      </c>
      <c r="Y555" s="4">
        <f t="shared" si="496"/>
        <v>-1.56627020843285</v>
      </c>
      <c r="Z555" t="str">
        <f t="shared" si="483"/>
        <v>-43,8604794985822+45,7658032953719i</v>
      </c>
      <c r="AA555" s="4">
        <f t="shared" si="497"/>
        <v>63.3896711863709</v>
      </c>
      <c r="AB555" s="4">
        <f t="shared" si="498"/>
        <v>2.33493915309972</v>
      </c>
      <c r="AC555" s="67" t="str">
        <f t="shared" si="499"/>
        <v>-1,05710793359184+1,01267785018554i</v>
      </c>
      <c r="AD555" s="68">
        <f t="shared" si="500"/>
        <v>3.31020876367966</v>
      </c>
      <c r="AE555" s="31">
        <f t="shared" si="501"/>
        <v>136.229724054501</v>
      </c>
      <c r="AF555" s="32" t="str">
        <f t="shared" si="502"/>
        <v>748,315388573934</v>
      </c>
      <c r="AG555" s="32" t="str">
        <f t="shared" si="484"/>
        <v>1+73318,8041554464i</v>
      </c>
      <c r="AH555" s="32">
        <f t="shared" si="503"/>
        <v>73318.8041622659</v>
      </c>
      <c r="AI555" s="32">
        <f t="shared" si="504"/>
        <v>1.57078268772902</v>
      </c>
      <c r="AJ555" s="32" t="str">
        <f t="shared" si="485"/>
        <v>1+230,954233089656i</v>
      </c>
      <c r="AK555" s="32">
        <f t="shared" si="505"/>
        <v>230.956398010601</v>
      </c>
      <c r="AL555" s="32">
        <f t="shared" si="506"/>
        <v>1.56646649166931</v>
      </c>
      <c r="AM555" s="32" t="str">
        <f t="shared" si="486"/>
        <v>1-39,3655071176486i</v>
      </c>
      <c r="AN555" s="32">
        <f t="shared" si="507"/>
        <v>39.378206544098</v>
      </c>
      <c r="AO555" s="32">
        <f t="shared" si="508"/>
        <v>-1.54539883916765</v>
      </c>
      <c r="AP555" s="30" t="str">
        <f t="shared" si="509"/>
        <v>1,95668213455968-92,8022961142985i</v>
      </c>
      <c r="AQ555" s="32">
        <f t="shared" si="510"/>
        <v>39.3531046715322</v>
      </c>
      <c r="AR555" s="31">
        <f t="shared" si="511"/>
        <v>-88.7921309664952</v>
      </c>
      <c r="AS555" t="str">
        <f t="shared" si="487"/>
        <v>-0,0000504684572142411</v>
      </c>
      <c r="AT555" t="str">
        <f t="shared" si="488"/>
        <v>3,30965664382944i</v>
      </c>
      <c r="AU555">
        <f t="shared" si="512"/>
        <v>3.30965664382944</v>
      </c>
      <c r="AV555">
        <f t="shared" si="513"/>
        <v>1.5707963267949</v>
      </c>
      <c r="AW555" t="str">
        <f t="shared" si="489"/>
        <v>1+169,44834965236i</v>
      </c>
      <c r="AX555">
        <f t="shared" si="514"/>
        <v>169.451300378334</v>
      </c>
      <c r="AY555">
        <f t="shared" si="515"/>
        <v>1.56489489197392</v>
      </c>
      <c r="AZ555" t="str">
        <f t="shared" si="490"/>
        <v>1+8101,07322699685i</v>
      </c>
      <c r="BA555">
        <f t="shared" si="516"/>
        <v>8101.07328871707</v>
      </c>
      <c r="BB555">
        <f t="shared" si="517"/>
        <v>1.57067288636091</v>
      </c>
      <c r="BC555" s="30" t="str">
        <f t="shared" si="518"/>
        <v>-4,21220444763816E-06+0,000728999941899841i</v>
      </c>
      <c r="BD555" s="32">
        <f t="shared" si="519"/>
        <v>-62.7453051349211</v>
      </c>
      <c r="BE555" s="31">
        <f t="shared" si="520"/>
        <v>90.3310546924246</v>
      </c>
      <c r="BF555" s="30" t="str">
        <f t="shared" si="521"/>
        <v>-0,000733789339209005-0,000774897228314889i</v>
      </c>
      <c r="BG555" s="68">
        <f t="shared" si="522"/>
        <v>-59.4350963712414</v>
      </c>
      <c r="BH555" s="31">
        <f t="shared" si="523"/>
        <v>-133.439221253075</v>
      </c>
      <c r="BI555" s="30" t="str">
        <f t="shared" si="476"/>
        <v>0,0676446265303056+0,00181732340685415i</v>
      </c>
      <c r="BJ555" s="68">
        <f t="shared" si="524"/>
        <v>-23.3922004633889</v>
      </c>
      <c r="BK555" s="31">
        <f t="shared" si="477"/>
        <v>1.5389237259294</v>
      </c>
      <c r="BL555" s="32">
        <f t="shared" si="525"/>
        <v>-59.4350963712414</v>
      </c>
      <c r="BM555" s="31">
        <f t="shared" si="526"/>
        <v>-133.439221253075</v>
      </c>
      <c r="BO555">
        <f t="shared" si="527"/>
        <v>0</v>
      </c>
      <c r="BP555">
        <f t="shared" si="528"/>
        <v>0</v>
      </c>
    </row>
    <row r="556" spans="14:68">
      <c r="N556" s="7">
        <v>38</v>
      </c>
      <c r="O556" s="18">
        <f t="shared" si="478"/>
        <v>2398832.91901949</v>
      </c>
      <c r="P556" s="86" t="str">
        <f t="shared" si="479"/>
        <v>163,636363636364</v>
      </c>
      <c r="Q556" s="4" t="str">
        <f t="shared" si="480"/>
        <v>1+92078,122698008i</v>
      </c>
      <c r="R556" s="4">
        <f t="shared" si="491"/>
        <v>92078.1227034382</v>
      </c>
      <c r="S556" s="4">
        <f t="shared" si="492"/>
        <v>1.57078546645185</v>
      </c>
      <c r="T556" s="4" t="str">
        <f t="shared" si="481"/>
        <v>1+236,33384825822i</v>
      </c>
      <c r="U556" s="4">
        <f t="shared" si="493"/>
        <v>236.335963899994</v>
      </c>
      <c r="V556" s="4">
        <f t="shared" si="494"/>
        <v>1.56656504955949</v>
      </c>
      <c r="W556" t="str">
        <f t="shared" si="482"/>
        <v>1-226,08467626743i</v>
      </c>
      <c r="X556" s="4">
        <f t="shared" si="495"/>
        <v>226.08688781738</v>
      </c>
      <c r="Y556" s="4">
        <f t="shared" si="496"/>
        <v>-1.56637323410568</v>
      </c>
      <c r="Z556" t="str">
        <f t="shared" si="483"/>
        <v>-45,9746887622172+46,8318257982534i</v>
      </c>
      <c r="AA556" s="4">
        <f t="shared" si="497"/>
        <v>65.6269145578298</v>
      </c>
      <c r="AB556" s="4">
        <f t="shared" si="498"/>
        <v>2.34695901065317</v>
      </c>
      <c r="AC556" s="67" t="str">
        <f t="shared" si="499"/>
        <v>-1,03274253160129+1,01342986522279i</v>
      </c>
      <c r="AD556" s="68">
        <f t="shared" si="500"/>
        <v>3.20893134673287</v>
      </c>
      <c r="AE556" s="31">
        <f t="shared" si="501"/>
        <v>135.540766467144</v>
      </c>
      <c r="AF556" s="32" t="str">
        <f t="shared" si="502"/>
        <v>748,315388573934</v>
      </c>
      <c r="AG556" s="32" t="str">
        <f t="shared" si="484"/>
        <v>1+75026,6184946731i</v>
      </c>
      <c r="AH556" s="32">
        <f t="shared" si="503"/>
        <v>75026.6185013374</v>
      </c>
      <c r="AI556" s="32">
        <f t="shared" si="504"/>
        <v>1.57078299819206</v>
      </c>
      <c r="AJ556" s="32" t="str">
        <f t="shared" si="485"/>
        <v>1+236,33384825822i</v>
      </c>
      <c r="AK556" s="32">
        <f t="shared" si="505"/>
        <v>236.335963899994</v>
      </c>
      <c r="AL556" s="32">
        <f t="shared" si="506"/>
        <v>1.56656504955949</v>
      </c>
      <c r="AM556" s="32" t="str">
        <f t="shared" si="486"/>
        <v>1-40,2824475710679i</v>
      </c>
      <c r="AN556" s="32">
        <f t="shared" si="507"/>
        <v>40.2948580133475</v>
      </c>
      <c r="AO556" s="32">
        <f t="shared" si="508"/>
        <v>-1.54597671641456</v>
      </c>
      <c r="AP556" s="30" t="str">
        <f t="shared" si="509"/>
        <v>1,95668212831081-94,9634704503572i</v>
      </c>
      <c r="AQ556" s="32">
        <f t="shared" si="510"/>
        <v>39.5529749513276</v>
      </c>
      <c r="AR556" s="31">
        <f t="shared" si="511"/>
        <v>-88.8196117308968</v>
      </c>
      <c r="AS556" t="str">
        <f t="shared" si="487"/>
        <v>-0,0000504684572142411</v>
      </c>
      <c r="AT556" t="str">
        <f t="shared" si="488"/>
        <v>3,3867484504861i</v>
      </c>
      <c r="AU556">
        <f t="shared" si="512"/>
        <v>3.3867484504861</v>
      </c>
      <c r="AV556">
        <f t="shared" si="513"/>
        <v>1.5707963267949</v>
      </c>
      <c r="AW556" t="str">
        <f t="shared" si="489"/>
        <v>1+173,395308752798i</v>
      </c>
      <c r="AX556">
        <f t="shared" si="514"/>
        <v>173.398192313179</v>
      </c>
      <c r="AY556">
        <f t="shared" si="515"/>
        <v>1.56502922201756</v>
      </c>
      <c r="AZ556" t="str">
        <f t="shared" si="490"/>
        <v>1+8289,77146313909i</v>
      </c>
      <c r="BA556">
        <f t="shared" si="516"/>
        <v>8289.77152345438</v>
      </c>
      <c r="BB556">
        <f t="shared" si="517"/>
        <v>1.5706756962082</v>
      </c>
      <c r="BC556" s="30" t="str">
        <f t="shared" si="518"/>
        <v>-4,02263032358091E-06+0,000712406970605105i</v>
      </c>
      <c r="BD556" s="32">
        <f t="shared" si="519"/>
        <v>-62.9452983305367</v>
      </c>
      <c r="BE556" s="31">
        <f t="shared" si="520"/>
        <v>90.3235191402535</v>
      </c>
      <c r="BF556" s="30" t="str">
        <f t="shared" si="521"/>
        <v>-0,000717820158780037-0,00073980963205979i</v>
      </c>
      <c r="BG556" s="68">
        <f t="shared" si="522"/>
        <v>-59.7363669838038</v>
      </c>
      <c r="BH556" s="31">
        <f t="shared" si="523"/>
        <v>-134.135714392603</v>
      </c>
      <c r="BI556" s="30" t="str">
        <f t="shared" si="476"/>
        <v>0,0676447672928234+0,00177595692333314i</v>
      </c>
      <c r="BJ556" s="68">
        <f t="shared" si="524"/>
        <v>-23.3923233792091</v>
      </c>
      <c r="BK556" s="31">
        <f t="shared" si="477"/>
        <v>1.50390740935675</v>
      </c>
      <c r="BL556" s="32">
        <f t="shared" si="525"/>
        <v>-59.7363669838038</v>
      </c>
      <c r="BM556" s="31">
        <f t="shared" si="526"/>
        <v>-134.135714392603</v>
      </c>
      <c r="BO556">
        <f t="shared" si="527"/>
        <v>0</v>
      </c>
      <c r="BP556">
        <f t="shared" si="528"/>
        <v>0</v>
      </c>
    </row>
    <row r="557" spans="14:68">
      <c r="N557" s="7">
        <v>39</v>
      </c>
      <c r="O557" s="18">
        <f t="shared" si="478"/>
        <v>2454708.91568503</v>
      </c>
      <c r="P557" s="86" t="str">
        <f t="shared" si="479"/>
        <v>163,636363636364</v>
      </c>
      <c r="Q557" s="4" t="str">
        <f t="shared" si="480"/>
        <v>1+94222,8976992388i</v>
      </c>
      <c r="R557" s="4">
        <f t="shared" si="491"/>
        <v>94222.8977045454</v>
      </c>
      <c r="S557" s="4">
        <f t="shared" si="492"/>
        <v>1.57078571366344</v>
      </c>
      <c r="T557" s="4" t="str">
        <f t="shared" si="481"/>
        <v>1+241,838770761379i</v>
      </c>
      <c r="U557" s="4">
        <f t="shared" si="493"/>
        <v>241.840838245683</v>
      </c>
      <c r="V557" s="4">
        <f t="shared" si="494"/>
        <v>1.56666136407763</v>
      </c>
      <c r="W557" t="str">
        <f t="shared" si="482"/>
        <v>1-231,350864886524i</v>
      </c>
      <c r="X557" s="4">
        <f t="shared" si="495"/>
        <v>231.353026095927</v>
      </c>
      <c r="Y557" s="4">
        <f t="shared" si="496"/>
        <v>-1.56647391471862</v>
      </c>
      <c r="Z557" t="str">
        <f t="shared" si="483"/>
        <v>-48,1885376387232+47,9226791550656i</v>
      </c>
      <c r="AA557" s="4">
        <f t="shared" si="497"/>
        <v>67.9611531476475</v>
      </c>
      <c r="AB557" s="4">
        <f t="shared" si="498"/>
        <v>2.358960637729</v>
      </c>
      <c r="AC557" s="67" t="str">
        <f t="shared" si="499"/>
        <v>-1,00840334176214+1,01359601950052i</v>
      </c>
      <c r="AD557" s="68">
        <f t="shared" si="500"/>
        <v>3.10534896665702</v>
      </c>
      <c r="AE557" s="31">
        <f t="shared" si="501"/>
        <v>134.852859565424</v>
      </c>
      <c r="AF557" s="32" t="str">
        <f t="shared" si="502"/>
        <v>748,315388573934</v>
      </c>
      <c r="AG557" s="32" t="str">
        <f t="shared" si="484"/>
        <v>1+76774,2129401205i</v>
      </c>
      <c r="AH557" s="32">
        <f t="shared" si="503"/>
        <v>76774.2129466331</v>
      </c>
      <c r="AI557" s="32">
        <f t="shared" si="504"/>
        <v>1.5707833015881</v>
      </c>
      <c r="AJ557" s="32" t="str">
        <f t="shared" si="485"/>
        <v>1+241,838770761379i</v>
      </c>
      <c r="AK557" s="32">
        <f t="shared" si="505"/>
        <v>241.840838245683</v>
      </c>
      <c r="AL557" s="32">
        <f t="shared" si="506"/>
        <v>1.56666136407763</v>
      </c>
      <c r="AM557" s="32" t="str">
        <f t="shared" si="486"/>
        <v>1-41,2207463113905i</v>
      </c>
      <c r="AN557" s="32">
        <f t="shared" si="507"/>
        <v>41.2328743415738</v>
      </c>
      <c r="AO557" s="32">
        <f t="shared" si="508"/>
        <v>-1.54654145559088</v>
      </c>
      <c r="AP557" s="30" t="str">
        <f t="shared" si="509"/>
        <v>1,9566821223432-97,1749956754384i</v>
      </c>
      <c r="AQ557" s="32">
        <f t="shared" si="510"/>
        <v>39.7528510660753</v>
      </c>
      <c r="AR557" s="31">
        <f t="shared" si="511"/>
        <v>-88.8464678701433</v>
      </c>
      <c r="AS557" t="str">
        <f t="shared" si="487"/>
        <v>-0,0000504684572142411</v>
      </c>
      <c r="AT557" t="str">
        <f t="shared" si="488"/>
        <v>3,46563595600013i</v>
      </c>
      <c r="AU557">
        <f t="shared" si="512"/>
        <v>3.46563595600013</v>
      </c>
      <c r="AV557">
        <f t="shared" si="513"/>
        <v>1.5707963267949</v>
      </c>
      <c r="AW557" t="str">
        <f t="shared" si="489"/>
        <v>1+177,434204341096i</v>
      </c>
      <c r="AX557">
        <f t="shared" si="514"/>
        <v>177.437022264684</v>
      </c>
      <c r="AY557">
        <f t="shared" si="515"/>
        <v>1.56516049453721</v>
      </c>
      <c r="AZ557" t="str">
        <f t="shared" si="490"/>
        <v>1+8482,86504583919i</v>
      </c>
      <c r="BA557">
        <f t="shared" si="516"/>
        <v>8482.86510478154</v>
      </c>
      <c r="BB557">
        <f t="shared" si="517"/>
        <v>1.57067844209557</v>
      </c>
      <c r="BC557" s="30" t="str">
        <f t="shared" si="518"/>
        <v>-3,84158788582601E-06+0,000696191628479295i</v>
      </c>
      <c r="BD557" s="32">
        <f t="shared" si="519"/>
        <v>-63.14529183239</v>
      </c>
      <c r="BE557" s="31">
        <f t="shared" si="520"/>
        <v>90.3161551066685</v>
      </c>
      <c r="BF557" s="30" t="str">
        <f t="shared" si="521"/>
        <v>-0,000701783193374458-0,000705935782854982i</v>
      </c>
      <c r="BG557" s="68">
        <f t="shared" si="522"/>
        <v>-60.039942865733</v>
      </c>
      <c r="BH557" s="31">
        <f t="shared" si="523"/>
        <v>-134.830985327908</v>
      </c>
      <c r="BI557" s="30" t="str">
        <f t="shared" si="476"/>
        <v>0,0676449017204143+0,00173553199936239i</v>
      </c>
      <c r="BJ557" s="68">
        <f t="shared" si="524"/>
        <v>-23.3924407663147</v>
      </c>
      <c r="BK557" s="31">
        <f t="shared" si="477"/>
        <v>1.46968723652517</v>
      </c>
      <c r="BL557" s="32">
        <f t="shared" si="525"/>
        <v>-60.039942865733</v>
      </c>
      <c r="BM557" s="31">
        <f t="shared" si="526"/>
        <v>-134.830985327908</v>
      </c>
      <c r="BO557">
        <f t="shared" si="527"/>
        <v>0</v>
      </c>
      <c r="BP557">
        <f t="shared" si="528"/>
        <v>0</v>
      </c>
    </row>
    <row r="558" spans="14:68">
      <c r="N558" s="7">
        <v>40</v>
      </c>
      <c r="O558" s="18">
        <f t="shared" si="478"/>
        <v>2511886.43150959</v>
      </c>
      <c r="P558" s="86" t="str">
        <f t="shared" si="479"/>
        <v>163,636363636364</v>
      </c>
      <c r="Q558" s="4" t="str">
        <f t="shared" si="480"/>
        <v>1+96417,6309280178i</v>
      </c>
      <c r="R558" s="4">
        <f t="shared" si="491"/>
        <v>96417.6309332036</v>
      </c>
      <c r="S558" s="4">
        <f t="shared" si="492"/>
        <v>1.5707859552478</v>
      </c>
      <c r="T558" s="4" t="str">
        <f t="shared" si="481"/>
        <v>1+247,471919381912i</v>
      </c>
      <c r="U558" s="4">
        <f t="shared" si="493"/>
        <v>247.473939804917</v>
      </c>
      <c r="V558" s="4">
        <f t="shared" si="494"/>
        <v>1.5667554862838</v>
      </c>
      <c r="W558" t="str">
        <f t="shared" si="482"/>
        <v>1-236,739718796472i</v>
      </c>
      <c r="X558" s="4">
        <f t="shared" si="495"/>
        <v>236.741830811187</v>
      </c>
      <c r="Y558" s="4">
        <f t="shared" si="496"/>
        <v>-1.56657230364568</v>
      </c>
      <c r="Z558" t="str">
        <f t="shared" si="483"/>
        <v>-50,5067219983836+49,0389417506978i</v>
      </c>
      <c r="AA558" s="4">
        <f t="shared" si="497"/>
        <v>70.3970651025335</v>
      </c>
      <c r="AB558" s="4">
        <f t="shared" si="498"/>
        <v>2.37093821520026</v>
      </c>
      <c r="AC558" s="67" t="str">
        <f t="shared" si="499"/>
        <v>-0,984116196024+1,01317923673729i</v>
      </c>
      <c r="AD558" s="68">
        <f t="shared" si="500"/>
        <v>2.99946568768641</v>
      </c>
      <c r="AE558" s="31">
        <f t="shared" si="501"/>
        <v>134.166336620665</v>
      </c>
      <c r="AF558" s="32" t="str">
        <f t="shared" si="502"/>
        <v>748,315388573934</v>
      </c>
      <c r="AG558" s="32" t="str">
        <f t="shared" si="484"/>
        <v>1+78562,5140894959i</v>
      </c>
      <c r="AH558" s="32">
        <f t="shared" si="503"/>
        <v>78562.5140958603</v>
      </c>
      <c r="AI558" s="32">
        <f t="shared" si="504"/>
        <v>1.57078359807801</v>
      </c>
      <c r="AJ558" s="32" t="str">
        <f t="shared" si="485"/>
        <v>1+247,471919381912i</v>
      </c>
      <c r="AK558" s="32">
        <f t="shared" si="505"/>
        <v>247.473939804917</v>
      </c>
      <c r="AL558" s="32">
        <f t="shared" si="506"/>
        <v>1.5667554862838</v>
      </c>
      <c r="AM558" s="32" t="str">
        <f t="shared" si="486"/>
        <v>1-42,1809008370288i</v>
      </c>
      <c r="AN558" s="32">
        <f t="shared" si="507"/>
        <v>42.1927528779915</v>
      </c>
      <c r="AO558" s="32">
        <f t="shared" si="508"/>
        <v>-1.54709335468708</v>
      </c>
      <c r="AP558" s="30" t="str">
        <f t="shared" si="509"/>
        <v>1,95668211664417-99,4380443694911i</v>
      </c>
      <c r="AQ558" s="32">
        <f t="shared" si="510"/>
        <v>39.9527327534601</v>
      </c>
      <c r="AR558" s="31">
        <f t="shared" si="511"/>
        <v>-88.8727135415204</v>
      </c>
      <c r="AS558" t="str">
        <f t="shared" si="487"/>
        <v>-0,0000504684572142411</v>
      </c>
      <c r="AT558" t="str">
        <f t="shared" si="488"/>
        <v>3,54636098757115i</v>
      </c>
      <c r="AU558">
        <f t="shared" si="512"/>
        <v>3.54636098757115</v>
      </c>
      <c r="AV558">
        <f t="shared" si="513"/>
        <v>1.5707963267949</v>
      </c>
      <c r="AW558" t="str">
        <f t="shared" si="489"/>
        <v>1+181,567177893155i</v>
      </c>
      <c r="AX558">
        <f t="shared" si="514"/>
        <v>181.569931673955</v>
      </c>
      <c r="AY558">
        <f t="shared" si="515"/>
        <v>1.56528877911719</v>
      </c>
      <c r="AZ558" t="str">
        <f t="shared" si="490"/>
        <v>1+8680,45635587063i</v>
      </c>
      <c r="BA558">
        <f t="shared" si="516"/>
        <v>8680.45641347129</v>
      </c>
      <c r="BB558">
        <f t="shared" si="517"/>
        <v>1.57068112547891</v>
      </c>
      <c r="BC558" s="30" t="str">
        <f t="shared" si="518"/>
        <v>-3,66869319404843E-06+0,000680345324503196i</v>
      </c>
      <c r="BD558" s="32">
        <f t="shared" si="519"/>
        <v>-63.345285626699</v>
      </c>
      <c r="BE558" s="31">
        <f t="shared" si="520"/>
        <v>90.3089586881989</v>
      </c>
      <c r="BF558" s="30" t="str">
        <f t="shared" si="521"/>
        <v>-0,000685701336207426-0,000673255896502968i</v>
      </c>
      <c r="BG558" s="68">
        <f t="shared" si="522"/>
        <v>-60.3458199390126</v>
      </c>
      <c r="BH558" s="31">
        <f t="shared" si="523"/>
        <v>-135.524704691136</v>
      </c>
      <c r="BI558" s="30" t="str">
        <f t="shared" si="476"/>
        <v>0,0676450300981604+0,00169602720620572i</v>
      </c>
      <c r="BJ558" s="68">
        <f t="shared" si="524"/>
        <v>-23.3925528732389</v>
      </c>
      <c r="BK558" s="31">
        <f t="shared" si="477"/>
        <v>1.43624514667854</v>
      </c>
      <c r="BL558" s="32">
        <f t="shared" si="525"/>
        <v>-60.3458199390126</v>
      </c>
      <c r="BM558" s="31">
        <f t="shared" si="526"/>
        <v>-135.524704691136</v>
      </c>
      <c r="BO558">
        <f t="shared" si="527"/>
        <v>0</v>
      </c>
      <c r="BP558">
        <f t="shared" si="528"/>
        <v>0</v>
      </c>
    </row>
    <row r="559" spans="14:68">
      <c r="N559" s="7">
        <v>41</v>
      </c>
      <c r="O559" s="18">
        <f t="shared" si="478"/>
        <v>2570395.78276887</v>
      </c>
      <c r="P559" s="86" t="str">
        <f t="shared" si="479"/>
        <v>163,636363636364</v>
      </c>
      <c r="Q559" s="4" t="str">
        <f t="shared" si="480"/>
        <v>1+98663,4860609525i</v>
      </c>
      <c r="R559" s="4">
        <f t="shared" si="491"/>
        <v>98663.4860660202</v>
      </c>
      <c r="S559" s="4">
        <f t="shared" si="492"/>
        <v>1.57078619133304</v>
      </c>
      <c r="T559" s="4" t="str">
        <f t="shared" si="481"/>
        <v>1+253,236280889778i</v>
      </c>
      <c r="U559" s="4">
        <f t="shared" si="493"/>
        <v>253.238255322703</v>
      </c>
      <c r="V559" s="4">
        <f t="shared" si="494"/>
        <v>1.56684746607617</v>
      </c>
      <c r="W559" t="str">
        <f t="shared" si="482"/>
        <v>1-242,254095238946i</v>
      </c>
      <c r="X559" s="4">
        <f t="shared" si="495"/>
        <v>242.256159178751</v>
      </c>
      <c r="Y559" s="4">
        <f t="shared" si="496"/>
        <v>-1.56666845304636</v>
      </c>
      <c r="Z559" t="str">
        <f t="shared" si="483"/>
        <v>-52,9341590210285+50,181205442353i</v>
      </c>
      <c r="AA559" s="4">
        <f t="shared" si="497"/>
        <v>72.9395542275326</v>
      </c>
      <c r="AB559" s="4">
        <f t="shared" si="498"/>
        <v>2.38288595170177</v>
      </c>
      <c r="AC559" s="67" t="str">
        <f t="shared" si="499"/>
        <v>-0,959906694060242+1,0121838961115i</v>
      </c>
      <c r="AD559" s="68">
        <f t="shared" si="500"/>
        <v>2.8912879831896</v>
      </c>
      <c r="AE559" s="31">
        <f t="shared" si="501"/>
        <v>133.481529316748</v>
      </c>
      <c r="AF559" s="32" t="str">
        <f t="shared" si="502"/>
        <v>748,315388573934</v>
      </c>
      <c r="AG559" s="32" t="str">
        <f t="shared" si="484"/>
        <v>1+80392,470123739i</v>
      </c>
      <c r="AH559" s="32">
        <f t="shared" si="503"/>
        <v>80392.4701299585</v>
      </c>
      <c r="AI559" s="32">
        <f t="shared" si="504"/>
        <v>1.57078388781898</v>
      </c>
      <c r="AJ559" s="32" t="str">
        <f t="shared" si="485"/>
        <v>1+253,236280889778i</v>
      </c>
      <c r="AK559" s="32">
        <f t="shared" si="505"/>
        <v>253.238255322703</v>
      </c>
      <c r="AL559" s="32">
        <f t="shared" si="506"/>
        <v>1.56684746607617</v>
      </c>
      <c r="AM559" s="32" t="str">
        <f t="shared" si="486"/>
        <v>1-43,1634202346209i</v>
      </c>
      <c r="AN559" s="32">
        <f t="shared" si="507"/>
        <v>43.1750025634102</v>
      </c>
      <c r="AO559" s="32">
        <f t="shared" si="508"/>
        <v>-1.54763270498174</v>
      </c>
      <c r="AP559" s="30" t="str">
        <f t="shared" si="509"/>
        <v>1,95668211120165-101,753816430886i</v>
      </c>
      <c r="AQ559" s="32">
        <f t="shared" si="510"/>
        <v>40.152619762946</v>
      </c>
      <c r="AR559" s="31">
        <f t="shared" si="511"/>
        <v>-88.8983625841153</v>
      </c>
      <c r="AS559" t="str">
        <f t="shared" si="487"/>
        <v>-0,0000504684572142411</v>
      </c>
      <c r="AT559" t="str">
        <f t="shared" si="488"/>
        <v>3,62896634667941i</v>
      </c>
      <c r="AU559">
        <f t="shared" si="512"/>
        <v>3.62896634667941</v>
      </c>
      <c r="AV559">
        <f t="shared" si="513"/>
        <v>1.5707963267949</v>
      </c>
      <c r="AW559" t="str">
        <f t="shared" si="489"/>
        <v>1+185,796420766259i</v>
      </c>
      <c r="AX559">
        <f t="shared" si="514"/>
        <v>185.799111864273</v>
      </c>
      <c r="AY559">
        <f t="shared" si="515"/>
        <v>1.56541414375879</v>
      </c>
      <c r="AZ559" t="str">
        <f t="shared" si="490"/>
        <v>1+8882,65015876133i</v>
      </c>
      <c r="BA559">
        <f t="shared" si="516"/>
        <v>8882.65021505083</v>
      </c>
      <c r="BB559">
        <f t="shared" si="517"/>
        <v>1.57068374778099</v>
      </c>
      <c r="BC559" s="30" t="str">
        <f t="shared" si="518"/>
        <v>-3,50357958378951E-06+0,000664859662888033i</v>
      </c>
      <c r="BD559" s="32">
        <f t="shared" si="519"/>
        <v>-63.5452797003019</v>
      </c>
      <c r="BE559" s="31">
        <f t="shared" si="520"/>
        <v>90.3019260701768</v>
      </c>
      <c r="BF559" s="30" t="str">
        <f t="shared" si="521"/>
        <v>-0,000669597134453735-0,000641749507850316i</v>
      </c>
      <c r="BG559" s="68">
        <f t="shared" si="522"/>
        <v>-60.6539917171123</v>
      </c>
      <c r="BH559" s="31">
        <f t="shared" si="523"/>
        <v>-136.216544613075</v>
      </c>
      <c r="BI559" s="30" t="str">
        <f t="shared" si="476"/>
        <v>0,0676451526983129+0,00165742160265249i</v>
      </c>
      <c r="BJ559" s="68">
        <f t="shared" si="524"/>
        <v>-23.3926599373559</v>
      </c>
      <c r="BK559" s="31">
        <f t="shared" si="477"/>
        <v>1.40356348606149</v>
      </c>
      <c r="BL559" s="32">
        <f t="shared" si="525"/>
        <v>-60.6539917171123</v>
      </c>
      <c r="BM559" s="31">
        <f t="shared" si="526"/>
        <v>-136.216544613075</v>
      </c>
      <c r="BO559">
        <f t="shared" si="527"/>
        <v>0</v>
      </c>
      <c r="BP559">
        <f t="shared" si="528"/>
        <v>0</v>
      </c>
    </row>
    <row r="560" ht="15.75" spans="14:68">
      <c r="N560" s="7">
        <v>42</v>
      </c>
      <c r="O560" s="18">
        <f t="shared" si="478"/>
        <v>2630267.99189538</v>
      </c>
      <c r="P560" s="86" t="str">
        <f t="shared" si="479"/>
        <v>163,636363636364</v>
      </c>
      <c r="Q560" s="4" t="str">
        <f t="shared" si="480"/>
        <v>1+100961,653880162i</v>
      </c>
      <c r="R560" s="4">
        <f t="shared" si="491"/>
        <v>100961.653885114</v>
      </c>
      <c r="S560" s="4">
        <f t="shared" si="492"/>
        <v>1.57078642204432</v>
      </c>
      <c r="T560" s="4" t="str">
        <f t="shared" si="481"/>
        <v>1+259,13491162575i</v>
      </c>
      <c r="U560" s="4">
        <f t="shared" si="493"/>
        <v>259.136841115433</v>
      </c>
      <c r="V560" s="4">
        <f t="shared" si="494"/>
        <v>1.56693735221742</v>
      </c>
      <c r="W560" t="str">
        <f t="shared" si="482"/>
        <v>1-247,896918009327i</v>
      </c>
      <c r="X560" s="4">
        <f t="shared" si="495"/>
        <v>247.898934968513</v>
      </c>
      <c r="Y560" s="4">
        <f t="shared" si="496"/>
        <v>-1.56676241389322</v>
      </c>
      <c r="Z560" t="str">
        <f t="shared" si="483"/>
        <v>-55,4759976260358+51,3500758733606i</v>
      </c>
      <c r="AA560" s="4">
        <f t="shared" si="497"/>
        <v>75.5937603562875</v>
      </c>
      <c r="AB560" s="4">
        <f t="shared" si="498"/>
        <v>2.39479809957259</v>
      </c>
      <c r="AC560" s="74" t="str">
        <f t="shared" si="499"/>
        <v>-0,935800097131972+1,01061580791342i</v>
      </c>
      <c r="AD560" s="75">
        <f t="shared" si="500"/>
        <v>2.78082470949239</v>
      </c>
      <c r="AE560" s="76">
        <f t="shared" si="501"/>
        <v>132.798766836598</v>
      </c>
      <c r="AF560" s="32" t="str">
        <f t="shared" si="502"/>
        <v>748,315388573934</v>
      </c>
      <c r="AG560" s="32" t="str">
        <f t="shared" si="484"/>
        <v>1+82265,0513097619i</v>
      </c>
      <c r="AH560" s="32">
        <f t="shared" si="503"/>
        <v>82265.0513158398</v>
      </c>
      <c r="AI560" s="32">
        <f t="shared" si="504"/>
        <v>1.57078417096464</v>
      </c>
      <c r="AJ560" s="32" t="str">
        <f t="shared" si="485"/>
        <v>1+259,13491162575i</v>
      </c>
      <c r="AK560" s="32">
        <f t="shared" si="505"/>
        <v>259.136841115433</v>
      </c>
      <c r="AL560" s="32">
        <f t="shared" si="506"/>
        <v>1.56693735221742</v>
      </c>
      <c r="AM560" s="32" t="str">
        <f t="shared" si="486"/>
        <v>1-44,1688254489568i</v>
      </c>
      <c r="AN560" s="32">
        <f t="shared" si="507"/>
        <v>44.1801442000862</v>
      </c>
      <c r="AO560" s="32">
        <f t="shared" si="508"/>
        <v>-1.54815979118966</v>
      </c>
      <c r="AP560" s="69" t="str">
        <f t="shared" si="509"/>
        <v>1,95668210600407-104,123539712623i</v>
      </c>
      <c r="AQ560" s="73">
        <f t="shared" si="510"/>
        <v>40.3525118552491</v>
      </c>
      <c r="AR560" s="76">
        <f t="shared" si="511"/>
        <v>-88.9234285257896</v>
      </c>
      <c r="AS560" t="str">
        <f t="shared" si="487"/>
        <v>-0,0000504684572142411</v>
      </c>
      <c r="AT560" t="str">
        <f t="shared" si="488"/>
        <v>3,71349583177972i</v>
      </c>
      <c r="AU560">
        <f t="shared" si="512"/>
        <v>3.71349583177972</v>
      </c>
      <c r="AV560">
        <f t="shared" si="513"/>
        <v>1.5707963267949</v>
      </c>
      <c r="AW560" t="str">
        <f t="shared" si="489"/>
        <v>1+190,124175360958i</v>
      </c>
      <c r="AX560">
        <f t="shared" si="514"/>
        <v>190.12680520296</v>
      </c>
      <c r="AY560">
        <f t="shared" si="515"/>
        <v>1.56553665491623</v>
      </c>
      <c r="AZ560" t="str">
        <f t="shared" si="490"/>
        <v>1+9089,55366034198i</v>
      </c>
      <c r="BA560">
        <f t="shared" si="516"/>
        <v>9089.55371535018</v>
      </c>
      <c r="BB560">
        <f t="shared" si="517"/>
        <v>1.57068631039218</v>
      </c>
      <c r="BC560" s="69" t="str">
        <f t="shared" si="518"/>
        <v>-3,34589688929298E-06+0,000649726438653205i</v>
      </c>
      <c r="BD560" s="73">
        <f t="shared" si="519"/>
        <v>-63.7452740406289</v>
      </c>
      <c r="BE560" s="76">
        <f t="shared" si="520"/>
        <v>90.2950535247185</v>
      </c>
      <c r="BF560" s="69" t="str">
        <f t="shared" si="521"/>
        <v>-0,000653492719088224-0,000611395480688847i</v>
      </c>
      <c r="BG560" s="75">
        <f t="shared" si="522"/>
        <v>-60.9644493311365</v>
      </c>
      <c r="BH560" s="76">
        <f t="shared" si="523"/>
        <v>-136.906179638684</v>
      </c>
      <c r="BI560" s="69" t="str">
        <f t="shared" si="476"/>
        <v>0,0676452697808763+0,00161969472393712i</v>
      </c>
      <c r="BJ560" s="75">
        <f t="shared" si="524"/>
        <v>-23.3927621853798</v>
      </c>
      <c r="BK560" s="76">
        <f t="shared" si="477"/>
        <v>1.37162499892891</v>
      </c>
      <c r="BL560" s="73">
        <f t="shared" si="525"/>
        <v>-60.9644493311365</v>
      </c>
      <c r="BM560" s="76">
        <f t="shared" si="526"/>
        <v>-136.906179638684</v>
      </c>
    </row>
    <row r="561" spans="14:30">
      <c r="N561" s="7"/>
      <c r="P561" s="86"/>
      <c r="Q561" s="4"/>
      <c r="R561" s="4"/>
      <c r="S561" s="4"/>
      <c r="T561" s="4"/>
      <c r="U561" s="4"/>
      <c r="V561" s="4"/>
      <c r="X561" s="4"/>
      <c r="Y561" s="4"/>
      <c r="AA561" s="4"/>
      <c r="AB561" s="4"/>
      <c r="AC561" s="4"/>
      <c r="AD561" s="95"/>
    </row>
    <row r="562" spans="14:30">
      <c r="N562" s="7"/>
      <c r="P562" s="86"/>
      <c r="Q562" s="4"/>
      <c r="R562" s="4"/>
      <c r="S562" s="4"/>
      <c r="T562" s="4"/>
      <c r="U562" s="4"/>
      <c r="V562" s="4"/>
      <c r="X562" s="4"/>
      <c r="Y562" s="4"/>
      <c r="AA562" s="4"/>
      <c r="AB562" s="4"/>
      <c r="AC562" s="4"/>
      <c r="AD562" s="95"/>
    </row>
    <row r="563" spans="14:30">
      <c r="N563" s="7"/>
      <c r="P563" s="86"/>
      <c r="Q563" s="4"/>
      <c r="R563" s="4"/>
      <c r="S563" s="4"/>
      <c r="T563" s="4"/>
      <c r="U563" s="4"/>
      <c r="V563" s="4"/>
      <c r="X563" s="4"/>
      <c r="Y563" s="4"/>
      <c r="AA563" s="4"/>
      <c r="AB563" s="4"/>
      <c r="AC563" s="4"/>
      <c r="AD563" s="95"/>
    </row>
    <row r="564" spans="14:30">
      <c r="N564" s="7"/>
      <c r="P564" s="86"/>
      <c r="Q564" s="4"/>
      <c r="R564" s="4"/>
      <c r="S564" s="4"/>
      <c r="T564" s="4"/>
      <c r="U564" s="4"/>
      <c r="V564" s="4"/>
      <c r="X564" s="4"/>
      <c r="Y564" s="4"/>
      <c r="AA564" s="4"/>
      <c r="AB564" s="4"/>
      <c r="AC564" s="4"/>
      <c r="AD564" s="95"/>
    </row>
    <row r="565" spans="14:30">
      <c r="N565" s="7"/>
      <c r="P565" s="86"/>
      <c r="Q565" s="4"/>
      <c r="R565" s="4"/>
      <c r="S565" s="4"/>
      <c r="T565" s="4"/>
      <c r="U565" s="4"/>
      <c r="V565" s="4"/>
      <c r="X565" s="4"/>
      <c r="Y565" s="4"/>
      <c r="AA565" s="4"/>
      <c r="AB565" s="4"/>
      <c r="AC565" s="4"/>
      <c r="AD565" s="95"/>
    </row>
    <row r="566" spans="14:30">
      <c r="N566" s="7"/>
      <c r="P566" s="86"/>
      <c r="Q566" s="4"/>
      <c r="R566" s="4"/>
      <c r="S566" s="4"/>
      <c r="T566" s="4"/>
      <c r="U566" s="4"/>
      <c r="V566" s="4"/>
      <c r="X566" s="4"/>
      <c r="Y566" s="4"/>
      <c r="AA566" s="4"/>
      <c r="AB566" s="4"/>
      <c r="AC566" s="4"/>
      <c r="AD566" s="95"/>
    </row>
    <row r="567" spans="14:30">
      <c r="N567" s="7"/>
      <c r="P567" s="86"/>
      <c r="Q567" s="4"/>
      <c r="R567" s="4"/>
      <c r="S567" s="4"/>
      <c r="T567" s="4"/>
      <c r="U567" s="4"/>
      <c r="V567" s="4"/>
      <c r="X567" s="4"/>
      <c r="Y567" s="4"/>
      <c r="AA567" s="4"/>
      <c r="AB567" s="4"/>
      <c r="AC567" s="4"/>
      <c r="AD567" s="95"/>
    </row>
    <row r="568" spans="14:30">
      <c r="N568" s="7"/>
      <c r="P568" s="86"/>
      <c r="Q568" s="4"/>
      <c r="R568" s="4"/>
      <c r="S568" s="4"/>
      <c r="T568" s="4"/>
      <c r="U568" s="4"/>
      <c r="V568" s="4"/>
      <c r="X568" s="4"/>
      <c r="Y568" s="4"/>
      <c r="AA568" s="4"/>
      <c r="AB568" s="4"/>
      <c r="AC568" s="4"/>
      <c r="AD568" s="95"/>
    </row>
    <row r="569" spans="14:30">
      <c r="N569" s="7"/>
      <c r="P569" s="86"/>
      <c r="Q569" s="4"/>
      <c r="R569" s="4"/>
      <c r="S569" s="4"/>
      <c r="T569" s="4"/>
      <c r="U569" s="4"/>
      <c r="V569" s="4"/>
      <c r="X569" s="4"/>
      <c r="Y569" s="4"/>
      <c r="AA569" s="4"/>
      <c r="AB569" s="4"/>
      <c r="AC569" s="4"/>
      <c r="AD569" s="95"/>
    </row>
    <row r="570" spans="14:30">
      <c r="N570" s="7"/>
      <c r="P570" s="86"/>
      <c r="Q570" s="4"/>
      <c r="R570" s="4"/>
      <c r="S570" s="4"/>
      <c r="T570" s="4"/>
      <c r="U570" s="4"/>
      <c r="V570" s="4"/>
      <c r="X570" s="4"/>
      <c r="Y570" s="4"/>
      <c r="AA570" s="4"/>
      <c r="AB570" s="4"/>
      <c r="AC570" s="4"/>
      <c r="AD570" s="95"/>
    </row>
    <row r="571" spans="14:30">
      <c r="N571" s="7"/>
      <c r="P571" s="86"/>
      <c r="Q571" s="4"/>
      <c r="R571" s="4"/>
      <c r="S571" s="4"/>
      <c r="T571" s="4"/>
      <c r="U571" s="4"/>
      <c r="V571" s="4"/>
      <c r="X571" s="4"/>
      <c r="Y571" s="4"/>
      <c r="AA571" s="4"/>
      <c r="AB571" s="4"/>
      <c r="AC571" s="4"/>
      <c r="AD571" s="95"/>
    </row>
    <row r="572" spans="14:30">
      <c r="N572" s="7"/>
      <c r="P572" s="86"/>
      <c r="Q572" s="4"/>
      <c r="R572" s="4"/>
      <c r="S572" s="4"/>
      <c r="T572" s="4"/>
      <c r="U572" s="4"/>
      <c r="V572" s="4"/>
      <c r="X572" s="4"/>
      <c r="Y572" s="4"/>
      <c r="AA572" s="4"/>
      <c r="AB572" s="4"/>
      <c r="AC572" s="4"/>
      <c r="AD572" s="95"/>
    </row>
    <row r="573" spans="14:30">
      <c r="N573" s="7"/>
      <c r="P573" s="86"/>
      <c r="Q573" s="4"/>
      <c r="R573" s="4"/>
      <c r="S573" s="4"/>
      <c r="T573" s="4"/>
      <c r="U573" s="4"/>
      <c r="V573" s="4"/>
      <c r="X573" s="4"/>
      <c r="Y573" s="4"/>
      <c r="AA573" s="4"/>
      <c r="AB573" s="4"/>
      <c r="AC573" s="4"/>
      <c r="AD573" s="95"/>
    </row>
    <row r="574" spans="14:30">
      <c r="N574" s="7"/>
      <c r="P574" s="86"/>
      <c r="Q574" s="4"/>
      <c r="R574" s="4"/>
      <c r="S574" s="4"/>
      <c r="T574" s="4"/>
      <c r="U574" s="4"/>
      <c r="V574" s="4"/>
      <c r="X574" s="4"/>
      <c r="Y574" s="4"/>
      <c r="AA574" s="4"/>
      <c r="AB574" s="4"/>
      <c r="AC574" s="4"/>
      <c r="AD574" s="95"/>
    </row>
    <row r="575" spans="14:30">
      <c r="N575" s="7"/>
      <c r="P575" s="86"/>
      <c r="Q575" s="4"/>
      <c r="R575" s="4"/>
      <c r="S575" s="4"/>
      <c r="T575" s="4"/>
      <c r="U575" s="4"/>
      <c r="V575" s="4"/>
      <c r="X575" s="4"/>
      <c r="Y575" s="4"/>
      <c r="AA575" s="4"/>
      <c r="AB575" s="4"/>
      <c r="AC575" s="4"/>
      <c r="AD575" s="95"/>
    </row>
    <row r="576" spans="14:30">
      <c r="N576" s="7"/>
      <c r="P576" s="86"/>
      <c r="Q576" s="4"/>
      <c r="R576" s="4"/>
      <c r="S576" s="4"/>
      <c r="T576" s="4"/>
      <c r="U576" s="4"/>
      <c r="V576" s="4"/>
      <c r="X576" s="4"/>
      <c r="Y576" s="4"/>
      <c r="AA576" s="4"/>
      <c r="AB576" s="4"/>
      <c r="AC576" s="4"/>
      <c r="AD576" s="95"/>
    </row>
    <row r="577" spans="14:30">
      <c r="N577" s="7"/>
      <c r="P577" s="86"/>
      <c r="Q577" s="4"/>
      <c r="R577" s="4"/>
      <c r="S577" s="4"/>
      <c r="T577" s="4"/>
      <c r="U577" s="4"/>
      <c r="V577" s="4"/>
      <c r="X577" s="4"/>
      <c r="Y577" s="4"/>
      <c r="AA577" s="4"/>
      <c r="AB577" s="4"/>
      <c r="AC577" s="4"/>
      <c r="AD577" s="95"/>
    </row>
    <row r="578" spans="14:30">
      <c r="N578" s="7"/>
      <c r="P578" s="86"/>
      <c r="Q578" s="4"/>
      <c r="R578" s="4"/>
      <c r="S578" s="4"/>
      <c r="T578" s="4"/>
      <c r="U578" s="4"/>
      <c r="V578" s="4"/>
      <c r="X578" s="4"/>
      <c r="Y578" s="4"/>
      <c r="AA578" s="4"/>
      <c r="AB578" s="4"/>
      <c r="AC578" s="4"/>
      <c r="AD578" s="95"/>
    </row>
    <row r="579" spans="14:30">
      <c r="N579" s="7"/>
      <c r="P579" s="86"/>
      <c r="Q579" s="4"/>
      <c r="R579" s="4"/>
      <c r="S579" s="4"/>
      <c r="T579" s="4"/>
      <c r="U579" s="4"/>
      <c r="V579" s="4"/>
      <c r="X579" s="4"/>
      <c r="Y579" s="4"/>
      <c r="AA579" s="4"/>
      <c r="AB579" s="4"/>
      <c r="AC579" s="4"/>
      <c r="AD579" s="95"/>
    </row>
    <row r="580" spans="14:30">
      <c r="N580" s="7"/>
      <c r="P580" s="86"/>
      <c r="Q580" s="4"/>
      <c r="R580" s="4"/>
      <c r="S580" s="4"/>
      <c r="T580" s="4"/>
      <c r="U580" s="4"/>
      <c r="V580" s="4"/>
      <c r="X580" s="4"/>
      <c r="Y580" s="4"/>
      <c r="AA580" s="4"/>
      <c r="AB580" s="4"/>
      <c r="AC580" s="4"/>
      <c r="AD580" s="95"/>
    </row>
    <row r="581" spans="14:30">
      <c r="N581" s="7"/>
      <c r="P581" s="86"/>
      <c r="Q581" s="4"/>
      <c r="R581" s="4"/>
      <c r="S581" s="4"/>
      <c r="T581" s="4"/>
      <c r="U581" s="4"/>
      <c r="V581" s="4"/>
      <c r="X581" s="4"/>
      <c r="Y581" s="4"/>
      <c r="AA581" s="4"/>
      <c r="AB581" s="4"/>
      <c r="AC581" s="4"/>
      <c r="AD581" s="95"/>
    </row>
    <row r="582" spans="14:30">
      <c r="N582" s="7"/>
      <c r="P582" s="86"/>
      <c r="Q582" s="4"/>
      <c r="R582" s="4"/>
      <c r="S582" s="4"/>
      <c r="T582" s="4"/>
      <c r="U582" s="4"/>
      <c r="V582" s="4"/>
      <c r="X582" s="4"/>
      <c r="Y582" s="4"/>
      <c r="AA582" s="4"/>
      <c r="AB582" s="4"/>
      <c r="AC582" s="4"/>
      <c r="AD582" s="95"/>
    </row>
    <row r="583" spans="14:30">
      <c r="N583" s="7"/>
      <c r="P583" s="86"/>
      <c r="Q583" s="4"/>
      <c r="R583" s="4"/>
      <c r="S583" s="4"/>
      <c r="T583" s="4"/>
      <c r="U583" s="4"/>
      <c r="V583" s="4"/>
      <c r="X583" s="4"/>
      <c r="Y583" s="4"/>
      <c r="AA583" s="4"/>
      <c r="AB583" s="4"/>
      <c r="AC583" s="4"/>
      <c r="AD583" s="95"/>
    </row>
    <row r="584" spans="14:30">
      <c r="N584" s="7"/>
      <c r="P584" s="86"/>
      <c r="Q584" s="4"/>
      <c r="R584" s="4"/>
      <c r="S584" s="4"/>
      <c r="T584" s="4"/>
      <c r="U584" s="4"/>
      <c r="V584" s="4"/>
      <c r="X584" s="4"/>
      <c r="Y584" s="4"/>
      <c r="AA584" s="4"/>
      <c r="AB584" s="4"/>
      <c r="AC584" s="4"/>
      <c r="AD584" s="95"/>
    </row>
    <row r="585" spans="14:30">
      <c r="N585" s="7"/>
      <c r="P585" s="86"/>
      <c r="Q585" s="4"/>
      <c r="R585" s="4"/>
      <c r="S585" s="4"/>
      <c r="T585" s="4"/>
      <c r="U585" s="4"/>
      <c r="V585" s="4"/>
      <c r="X585" s="4"/>
      <c r="Y585" s="4"/>
      <c r="AA585" s="4"/>
      <c r="AB585" s="4"/>
      <c r="AC585" s="4"/>
      <c r="AD585" s="95"/>
    </row>
    <row r="586" spans="14:30">
      <c r="N586" s="7"/>
      <c r="P586" s="86"/>
      <c r="Q586" s="4"/>
      <c r="R586" s="4"/>
      <c r="S586" s="4"/>
      <c r="T586" s="4"/>
      <c r="U586" s="4"/>
      <c r="V586" s="4"/>
      <c r="X586" s="4"/>
      <c r="Y586" s="4"/>
      <c r="AA586" s="4"/>
      <c r="AB586" s="4"/>
      <c r="AC586" s="4"/>
      <c r="AD586" s="95"/>
    </row>
    <row r="587" spans="14:30">
      <c r="N587" s="7"/>
      <c r="P587" s="86"/>
      <c r="Q587" s="4"/>
      <c r="R587" s="4"/>
      <c r="S587" s="4"/>
      <c r="T587" s="4"/>
      <c r="U587" s="4"/>
      <c r="V587" s="4"/>
      <c r="X587" s="4"/>
      <c r="Y587" s="4"/>
      <c r="AA587" s="4"/>
      <c r="AB587" s="4"/>
      <c r="AC587" s="4"/>
      <c r="AD587" s="95"/>
    </row>
    <row r="588" spans="14:30">
      <c r="N588" s="7"/>
      <c r="P588" s="86"/>
      <c r="Q588" s="4"/>
      <c r="R588" s="4"/>
      <c r="S588" s="4"/>
      <c r="T588" s="4"/>
      <c r="U588" s="4"/>
      <c r="V588" s="4"/>
      <c r="X588" s="4"/>
      <c r="Y588" s="4"/>
      <c r="AA588" s="4"/>
      <c r="AB588" s="4"/>
      <c r="AC588" s="4"/>
      <c r="AD588" s="95"/>
    </row>
    <row r="589" spans="14:30">
      <c r="N589" s="7"/>
      <c r="P589" s="86"/>
      <c r="Q589" s="4"/>
      <c r="R589" s="4"/>
      <c r="S589" s="4"/>
      <c r="T589" s="4"/>
      <c r="U589" s="4"/>
      <c r="V589" s="4"/>
      <c r="X589" s="4"/>
      <c r="Y589" s="4"/>
      <c r="AA589" s="4"/>
      <c r="AB589" s="4"/>
      <c r="AC589" s="4"/>
      <c r="AD589" s="95"/>
    </row>
    <row r="590" spans="14:30">
      <c r="N590" s="7"/>
      <c r="P590" s="86"/>
      <c r="Q590" s="4"/>
      <c r="R590" s="4"/>
      <c r="S590" s="4"/>
      <c r="T590" s="4"/>
      <c r="U590" s="4"/>
      <c r="V590" s="4"/>
      <c r="X590" s="4"/>
      <c r="Y590" s="4"/>
      <c r="AA590" s="4"/>
      <c r="AB590" s="4"/>
      <c r="AC590" s="4"/>
      <c r="AD590" s="95"/>
    </row>
    <row r="591" spans="14:30">
      <c r="N591" s="7"/>
      <c r="P591" s="86"/>
      <c r="Q591" s="4"/>
      <c r="R591" s="4"/>
      <c r="S591" s="4"/>
      <c r="T591" s="4"/>
      <c r="U591" s="4"/>
      <c r="V591" s="4"/>
      <c r="X591" s="4"/>
      <c r="Y591" s="4"/>
      <c r="AA591" s="4"/>
      <c r="AB591" s="4"/>
      <c r="AC591" s="4"/>
      <c r="AD591" s="95"/>
    </row>
    <row r="592" spans="14:30">
      <c r="N592" s="7"/>
      <c r="P592" s="86"/>
      <c r="Q592" s="4"/>
      <c r="R592" s="4"/>
      <c r="S592" s="4"/>
      <c r="T592" s="4"/>
      <c r="U592" s="4"/>
      <c r="V592" s="4"/>
      <c r="X592" s="4"/>
      <c r="Y592" s="4"/>
      <c r="AA592" s="4"/>
      <c r="AB592" s="4"/>
      <c r="AC592" s="4"/>
      <c r="AD592" s="95"/>
    </row>
    <row r="593" spans="14:30">
      <c r="N593" s="7"/>
      <c r="P593" s="86"/>
      <c r="Q593" s="4"/>
      <c r="R593" s="4"/>
      <c r="S593" s="4"/>
      <c r="T593" s="4"/>
      <c r="U593" s="4"/>
      <c r="V593" s="4"/>
      <c r="X593" s="4"/>
      <c r="Y593" s="4"/>
      <c r="AA593" s="4"/>
      <c r="AB593" s="4"/>
      <c r="AC593" s="4"/>
      <c r="AD593" s="95"/>
    </row>
    <row r="594" spans="14:30">
      <c r="N594" s="7"/>
      <c r="P594" s="86"/>
      <c r="Q594" s="4"/>
      <c r="R594" s="4"/>
      <c r="S594" s="4"/>
      <c r="T594" s="4"/>
      <c r="U594" s="4"/>
      <c r="V594" s="4"/>
      <c r="X594" s="4"/>
      <c r="Y594" s="4"/>
      <c r="AA594" s="4"/>
      <c r="AB594" s="4"/>
      <c r="AC594" s="4"/>
      <c r="AD594" s="95"/>
    </row>
    <row r="595" spans="14:30">
      <c r="N595" s="7"/>
      <c r="P595" s="86"/>
      <c r="Q595" s="4"/>
      <c r="R595" s="4"/>
      <c r="S595" s="4"/>
      <c r="T595" s="4"/>
      <c r="U595" s="4"/>
      <c r="V595" s="4"/>
      <c r="X595" s="4"/>
      <c r="Y595" s="4"/>
      <c r="AA595" s="4"/>
      <c r="AB595" s="4"/>
      <c r="AC595" s="4"/>
      <c r="AD595" s="95"/>
    </row>
    <row r="596" spans="14:30">
      <c r="N596" s="7"/>
      <c r="P596" s="86"/>
      <c r="Q596" s="4"/>
      <c r="R596" s="4"/>
      <c r="S596" s="4"/>
      <c r="T596" s="4"/>
      <c r="U596" s="4"/>
      <c r="V596" s="4"/>
      <c r="X596" s="4"/>
      <c r="Y596" s="4"/>
      <c r="AA596" s="4"/>
      <c r="AB596" s="4"/>
      <c r="AC596" s="4"/>
      <c r="AD596" s="95"/>
    </row>
    <row r="597" spans="14:30">
      <c r="N597" s="7"/>
      <c r="P597" s="86"/>
      <c r="Q597" s="4"/>
      <c r="R597" s="4"/>
      <c r="S597" s="4"/>
      <c r="T597" s="4"/>
      <c r="U597" s="4"/>
      <c r="V597" s="4"/>
      <c r="X597" s="4"/>
      <c r="Y597" s="4"/>
      <c r="AA597" s="4"/>
      <c r="AB597" s="4"/>
      <c r="AC597" s="4"/>
      <c r="AD597" s="95"/>
    </row>
    <row r="598" spans="14:30">
      <c r="N598" s="7"/>
      <c r="P598" s="86"/>
      <c r="Q598" s="4"/>
      <c r="R598" s="4"/>
      <c r="S598" s="4"/>
      <c r="T598" s="4"/>
      <c r="U598" s="4"/>
      <c r="V598" s="4"/>
      <c r="X598" s="4"/>
      <c r="Y598" s="4"/>
      <c r="AA598" s="4"/>
      <c r="AB598" s="4"/>
      <c r="AC598" s="4"/>
      <c r="AD598" s="95"/>
    </row>
    <row r="599" spans="14:30">
      <c r="N599" s="7"/>
      <c r="P599" s="86"/>
      <c r="Q599" s="4"/>
      <c r="R599" s="4"/>
      <c r="S599" s="4"/>
      <c r="T599" s="4"/>
      <c r="U599" s="4"/>
      <c r="V599" s="4"/>
      <c r="X599" s="4"/>
      <c r="Y599" s="4"/>
      <c r="AA599" s="4"/>
      <c r="AB599" s="4"/>
      <c r="AC599" s="4"/>
      <c r="AD599" s="95"/>
    </row>
    <row r="600" spans="14:30">
      <c r="N600" s="7"/>
      <c r="P600" s="86"/>
      <c r="Q600" s="4"/>
      <c r="R600" s="4"/>
      <c r="S600" s="4"/>
      <c r="T600" s="4"/>
      <c r="U600" s="4"/>
      <c r="V600" s="4"/>
      <c r="X600" s="4"/>
      <c r="Y600" s="4"/>
      <c r="AA600" s="4"/>
      <c r="AB600" s="4"/>
      <c r="AC600" s="4"/>
      <c r="AD600" s="95"/>
    </row>
    <row r="601" spans="14:30">
      <c r="N601" s="7"/>
      <c r="P601" s="86"/>
      <c r="Q601" s="4"/>
      <c r="R601" s="4"/>
      <c r="S601" s="4"/>
      <c r="T601" s="4"/>
      <c r="U601" s="4"/>
      <c r="V601" s="4"/>
      <c r="X601" s="4"/>
      <c r="Y601" s="4"/>
      <c r="AA601" s="4"/>
      <c r="AB601" s="4"/>
      <c r="AC601" s="4"/>
      <c r="AD601" s="95"/>
    </row>
    <row r="602" spans="14:30">
      <c r="N602" s="7"/>
      <c r="P602" s="86"/>
      <c r="Q602" s="4"/>
      <c r="R602" s="4"/>
      <c r="S602" s="4"/>
      <c r="T602" s="4"/>
      <c r="U602" s="4"/>
      <c r="V602" s="4"/>
      <c r="X602" s="4"/>
      <c r="Y602" s="4"/>
      <c r="AA602" s="4"/>
      <c r="AB602" s="4"/>
      <c r="AC602" s="4"/>
      <c r="AD602" s="95"/>
    </row>
    <row r="603" spans="14:30">
      <c r="N603" s="7"/>
      <c r="P603" s="86"/>
      <c r="Q603" s="4"/>
      <c r="R603" s="4"/>
      <c r="S603" s="4"/>
      <c r="T603" s="4"/>
      <c r="U603" s="4"/>
      <c r="V603" s="4"/>
      <c r="X603" s="4"/>
      <c r="Y603" s="4"/>
      <c r="AA603" s="4"/>
      <c r="AB603" s="4"/>
      <c r="AC603" s="4"/>
      <c r="AD603" s="95"/>
    </row>
    <row r="604" spans="14:30">
      <c r="N604" s="7"/>
      <c r="P604" s="86"/>
      <c r="Q604" s="4"/>
      <c r="R604" s="4"/>
      <c r="S604" s="4"/>
      <c r="T604" s="4"/>
      <c r="U604" s="4"/>
      <c r="V604" s="4"/>
      <c r="X604" s="4"/>
      <c r="Y604" s="4"/>
      <c r="AA604" s="4"/>
      <c r="AB604" s="4"/>
      <c r="AC604" s="4"/>
      <c r="AD604" s="95"/>
    </row>
    <row r="605" spans="14:30">
      <c r="N605" s="7"/>
      <c r="P605" s="86"/>
      <c r="Q605" s="4"/>
      <c r="R605" s="4"/>
      <c r="S605" s="4"/>
      <c r="T605" s="4"/>
      <c r="U605" s="4"/>
      <c r="V605" s="4"/>
      <c r="X605" s="4"/>
      <c r="Y605" s="4"/>
      <c r="AA605" s="4"/>
      <c r="AB605" s="4"/>
      <c r="AC605" s="4"/>
      <c r="AD605" s="95"/>
    </row>
    <row r="606" spans="14:30">
      <c r="N606" s="7"/>
      <c r="P606" s="86"/>
      <c r="Q606" s="4"/>
      <c r="R606" s="4"/>
      <c r="S606" s="4"/>
      <c r="T606" s="4"/>
      <c r="U606" s="4"/>
      <c r="V606" s="4"/>
      <c r="X606" s="4"/>
      <c r="Y606" s="4"/>
      <c r="AA606" s="4"/>
      <c r="AB606" s="4"/>
      <c r="AC606" s="4"/>
      <c r="AD606" s="95"/>
    </row>
    <row r="607" spans="14:30">
      <c r="N607" s="7"/>
      <c r="P607" s="86"/>
      <c r="Q607" s="4"/>
      <c r="R607" s="4"/>
      <c r="S607" s="4"/>
      <c r="T607" s="4"/>
      <c r="U607" s="4"/>
      <c r="V607" s="4"/>
      <c r="X607" s="4"/>
      <c r="Y607" s="4"/>
      <c r="AA607" s="4"/>
      <c r="AB607" s="4"/>
      <c r="AC607" s="4"/>
      <c r="AD607" s="95"/>
    </row>
    <row r="608" spans="14:30">
      <c r="N608" s="7"/>
      <c r="P608" s="86"/>
      <c r="Q608" s="4"/>
      <c r="R608" s="4"/>
      <c r="S608" s="4"/>
      <c r="T608" s="4"/>
      <c r="U608" s="4"/>
      <c r="V608" s="4"/>
      <c r="X608" s="4"/>
      <c r="Y608" s="4"/>
      <c r="AA608" s="4"/>
      <c r="AB608" s="4"/>
      <c r="AC608" s="4"/>
      <c r="AD608" s="95"/>
    </row>
    <row r="609" spans="14:30">
      <c r="N609" s="7"/>
      <c r="P609" s="86"/>
      <c r="Q609" s="4"/>
      <c r="R609" s="4"/>
      <c r="S609" s="4"/>
      <c r="T609" s="4"/>
      <c r="U609" s="4"/>
      <c r="V609" s="4"/>
      <c r="X609" s="4"/>
      <c r="Y609" s="4"/>
      <c r="AA609" s="4"/>
      <c r="AB609" s="4"/>
      <c r="AC609" s="4"/>
      <c r="AD609" s="95"/>
    </row>
    <row r="610" spans="14:30">
      <c r="N610" s="7"/>
      <c r="P610" s="86"/>
      <c r="Q610" s="4"/>
      <c r="R610" s="4"/>
      <c r="S610" s="4"/>
      <c r="T610" s="4"/>
      <c r="U610" s="4"/>
      <c r="V610" s="4"/>
      <c r="X610" s="4"/>
      <c r="Y610" s="4"/>
      <c r="AA610" s="4"/>
      <c r="AB610" s="4"/>
      <c r="AC610" s="4"/>
      <c r="AD610" s="95"/>
    </row>
    <row r="611" spans="14:30">
      <c r="N611" s="7"/>
      <c r="P611" s="86"/>
      <c r="Q611" s="4"/>
      <c r="R611" s="4"/>
      <c r="S611" s="4"/>
      <c r="T611" s="4"/>
      <c r="U611" s="4"/>
      <c r="V611" s="4"/>
      <c r="X611" s="4"/>
      <c r="Y611" s="4"/>
      <c r="AA611" s="4"/>
      <c r="AB611" s="4"/>
      <c r="AC611" s="4"/>
      <c r="AD611" s="95"/>
    </row>
    <row r="612" spans="14:30">
      <c r="N612" s="7"/>
      <c r="P612" s="86"/>
      <c r="Q612" s="4"/>
      <c r="R612" s="4"/>
      <c r="S612" s="4"/>
      <c r="T612" s="4"/>
      <c r="U612" s="4"/>
      <c r="V612" s="4"/>
      <c r="X612" s="4"/>
      <c r="Y612" s="4"/>
      <c r="AA612" s="4"/>
      <c r="AB612" s="4"/>
      <c r="AC612" s="4"/>
      <c r="AD612" s="95"/>
    </row>
    <row r="613" spans="14:30">
      <c r="N613" s="7"/>
      <c r="P613" s="86"/>
      <c r="Q613" s="4"/>
      <c r="R613" s="4"/>
      <c r="S613" s="4"/>
      <c r="T613" s="4"/>
      <c r="U613" s="4"/>
      <c r="V613" s="4"/>
      <c r="X613" s="4"/>
      <c r="Y613" s="4"/>
      <c r="AA613" s="4"/>
      <c r="AB613" s="4"/>
      <c r="AC613" s="4"/>
      <c r="AD613" s="95"/>
    </row>
    <row r="614" spans="14:30">
      <c r="N614" s="7"/>
      <c r="P614" s="86"/>
      <c r="Q614" s="4"/>
      <c r="R614" s="4"/>
      <c r="S614" s="4"/>
      <c r="T614" s="4"/>
      <c r="U614" s="4"/>
      <c r="V614" s="4"/>
      <c r="X614" s="4"/>
      <c r="Y614" s="4"/>
      <c r="AA614" s="4"/>
      <c r="AB614" s="4"/>
      <c r="AC614" s="4"/>
      <c r="AD614" s="95"/>
    </row>
    <row r="615" spans="14:30">
      <c r="N615" s="7"/>
      <c r="P615" s="86"/>
      <c r="Q615" s="4"/>
      <c r="R615" s="4"/>
      <c r="S615" s="4"/>
      <c r="T615" s="4"/>
      <c r="U615" s="4"/>
      <c r="V615" s="4"/>
      <c r="X615" s="4"/>
      <c r="Y615" s="4"/>
      <c r="AA615" s="4"/>
      <c r="AB615" s="4"/>
      <c r="AC615" s="4"/>
      <c r="AD615" s="95"/>
    </row>
    <row r="616" spans="14:30">
      <c r="N616" s="7"/>
      <c r="P616" s="86"/>
      <c r="Q616" s="4"/>
      <c r="R616" s="4"/>
      <c r="S616" s="4"/>
      <c r="T616" s="4"/>
      <c r="U616" s="4"/>
      <c r="V616" s="4"/>
      <c r="X616" s="4"/>
      <c r="Y616" s="4"/>
      <c r="AA616" s="4"/>
      <c r="AB616" s="4"/>
      <c r="AC616" s="4"/>
      <c r="AD616" s="95"/>
    </row>
    <row r="617" spans="14:30">
      <c r="N617" s="7"/>
      <c r="P617" s="86"/>
      <c r="Q617" s="4"/>
      <c r="R617" s="4"/>
      <c r="S617" s="4"/>
      <c r="T617" s="4"/>
      <c r="U617" s="4"/>
      <c r="V617" s="4"/>
      <c r="X617" s="4"/>
      <c r="Y617" s="4"/>
      <c r="AA617" s="4"/>
      <c r="AB617" s="4"/>
      <c r="AC617" s="4"/>
      <c r="AD617" s="95"/>
    </row>
    <row r="618" spans="14:30">
      <c r="N618" s="7"/>
      <c r="P618" s="86"/>
      <c r="Q618" s="4"/>
      <c r="R618" s="4"/>
      <c r="S618" s="4"/>
      <c r="T618" s="4"/>
      <c r="U618" s="4"/>
      <c r="V618" s="4"/>
      <c r="X618" s="4"/>
      <c r="Y618" s="4"/>
      <c r="AA618" s="4"/>
      <c r="AB618" s="4"/>
      <c r="AC618" s="4"/>
      <c r="AD618" s="95"/>
    </row>
    <row r="619" spans="14:30">
      <c r="N619" s="7"/>
      <c r="P619" s="86"/>
      <c r="Q619" s="4"/>
      <c r="R619" s="4"/>
      <c r="S619" s="4"/>
      <c r="T619" s="4"/>
      <c r="U619" s="4"/>
      <c r="V619" s="4"/>
      <c r="X619" s="4"/>
      <c r="Y619" s="4"/>
      <c r="AA619" s="4"/>
      <c r="AB619" s="4"/>
      <c r="AC619" s="4"/>
      <c r="AD619" s="95"/>
    </row>
    <row r="620" spans="14:30">
      <c r="N620" s="7"/>
      <c r="P620" s="86"/>
      <c r="Q620" s="4"/>
      <c r="R620" s="4"/>
      <c r="S620" s="4"/>
      <c r="T620" s="4"/>
      <c r="U620" s="4"/>
      <c r="V620" s="4"/>
      <c r="X620" s="4"/>
      <c r="Y620" s="4"/>
      <c r="AA620" s="4"/>
      <c r="AB620" s="4"/>
      <c r="AC620" s="4"/>
      <c r="AD620" s="95"/>
    </row>
    <row r="621" spans="14:30">
      <c r="N621" s="7"/>
      <c r="P621" s="86"/>
      <c r="Q621" s="4"/>
      <c r="R621" s="4"/>
      <c r="S621" s="4"/>
      <c r="T621" s="4"/>
      <c r="U621" s="4"/>
      <c r="V621" s="4"/>
      <c r="X621" s="4"/>
      <c r="Y621" s="4"/>
      <c r="AA621" s="4"/>
      <c r="AB621" s="4"/>
      <c r="AC621" s="4"/>
      <c r="AD621" s="95"/>
    </row>
    <row r="622" spans="14:30">
      <c r="N622" s="7"/>
      <c r="P622" s="86"/>
      <c r="Q622" s="4"/>
      <c r="R622" s="4"/>
      <c r="S622" s="4"/>
      <c r="T622" s="4"/>
      <c r="U622" s="4"/>
      <c r="V622" s="4"/>
      <c r="X622" s="4"/>
      <c r="Y622" s="4"/>
      <c r="AA622" s="4"/>
      <c r="AB622" s="4"/>
      <c r="AC622" s="4"/>
      <c r="AD622" s="95"/>
    </row>
    <row r="623" spans="14:30">
      <c r="N623" s="7"/>
      <c r="P623" s="86"/>
      <c r="Q623" s="4"/>
      <c r="R623" s="4"/>
      <c r="S623" s="4"/>
      <c r="T623" s="4"/>
      <c r="U623" s="4"/>
      <c r="V623" s="4"/>
      <c r="X623" s="4"/>
      <c r="Y623" s="4"/>
      <c r="AA623" s="4"/>
      <c r="AB623" s="4"/>
      <c r="AC623" s="4"/>
      <c r="AD623" s="95"/>
    </row>
    <row r="624" spans="14:30">
      <c r="N624" s="7"/>
      <c r="P624" s="86"/>
      <c r="Q624" s="4"/>
      <c r="R624" s="4"/>
      <c r="S624" s="4"/>
      <c r="T624" s="4"/>
      <c r="U624" s="4"/>
      <c r="V624" s="4"/>
      <c r="X624" s="4"/>
      <c r="Y624" s="4"/>
      <c r="AA624" s="4"/>
      <c r="AB624" s="4"/>
      <c r="AC624" s="4"/>
      <c r="AD624" s="95"/>
    </row>
    <row r="625" spans="14:30">
      <c r="N625" s="7"/>
      <c r="P625" s="86"/>
      <c r="Q625" s="4"/>
      <c r="R625" s="4"/>
      <c r="S625" s="4"/>
      <c r="T625" s="4"/>
      <c r="U625" s="4"/>
      <c r="V625" s="4"/>
      <c r="X625" s="4"/>
      <c r="Y625" s="4"/>
      <c r="AA625" s="4"/>
      <c r="AB625" s="4"/>
      <c r="AC625" s="4"/>
      <c r="AD625" s="95"/>
    </row>
    <row r="626" spans="14:30">
      <c r="N626" s="7"/>
      <c r="P626" s="86"/>
      <c r="Q626" s="4"/>
      <c r="R626" s="4"/>
      <c r="S626" s="4"/>
      <c r="T626" s="4"/>
      <c r="U626" s="4"/>
      <c r="V626" s="4"/>
      <c r="X626" s="4"/>
      <c r="Y626" s="4"/>
      <c r="AA626" s="4"/>
      <c r="AB626" s="4"/>
      <c r="AC626" s="4"/>
      <c r="AD626" s="95"/>
    </row>
    <row r="627" spans="14:30">
      <c r="N627" s="7"/>
      <c r="P627" s="86"/>
      <c r="Q627" s="4"/>
      <c r="R627" s="4"/>
      <c r="S627" s="4"/>
      <c r="T627" s="4"/>
      <c r="U627" s="4"/>
      <c r="V627" s="4"/>
      <c r="X627" s="4"/>
      <c r="Y627" s="4"/>
      <c r="AA627" s="4"/>
      <c r="AB627" s="4"/>
      <c r="AC627" s="4"/>
      <c r="AD627" s="95"/>
    </row>
    <row r="628" spans="14:30">
      <c r="N628" s="7"/>
      <c r="P628" s="86"/>
      <c r="Q628" s="4"/>
      <c r="R628" s="4"/>
      <c r="S628" s="4"/>
      <c r="T628" s="4"/>
      <c r="U628" s="4"/>
      <c r="V628" s="4"/>
      <c r="X628" s="4"/>
      <c r="Y628" s="4"/>
      <c r="AA628" s="4"/>
      <c r="AB628" s="4"/>
      <c r="AC628" s="4"/>
      <c r="AD628" s="95"/>
    </row>
    <row r="629" spans="14:30">
      <c r="N629" s="7"/>
      <c r="P629" s="86"/>
      <c r="Q629" s="4"/>
      <c r="R629" s="4"/>
      <c r="S629" s="4"/>
      <c r="T629" s="4"/>
      <c r="U629" s="4"/>
      <c r="V629" s="4"/>
      <c r="X629" s="4"/>
      <c r="Y629" s="4"/>
      <c r="AA629" s="4"/>
      <c r="AB629" s="4"/>
      <c r="AC629" s="4"/>
      <c r="AD629" s="95"/>
    </row>
    <row r="630" spans="14:30">
      <c r="N630" s="7"/>
      <c r="P630" s="86"/>
      <c r="Q630" s="4"/>
      <c r="R630" s="4"/>
      <c r="S630" s="4"/>
      <c r="T630" s="4"/>
      <c r="U630" s="4"/>
      <c r="V630" s="4"/>
      <c r="X630" s="4"/>
      <c r="Y630" s="4"/>
      <c r="AA630" s="4"/>
      <c r="AB630" s="4"/>
      <c r="AC630" s="4"/>
      <c r="AD630" s="95"/>
    </row>
    <row r="631" spans="14:30">
      <c r="N631" s="7"/>
      <c r="P631" s="86"/>
      <c r="Q631" s="4"/>
      <c r="R631" s="4"/>
      <c r="S631" s="4"/>
      <c r="T631" s="4"/>
      <c r="U631" s="4"/>
      <c r="V631" s="4"/>
      <c r="X631" s="4"/>
      <c r="Y631" s="4"/>
      <c r="AA631" s="4"/>
      <c r="AB631" s="4"/>
      <c r="AC631" s="4"/>
      <c r="AD631" s="95"/>
    </row>
    <row r="632" spans="14:30">
      <c r="N632" s="7"/>
      <c r="P632" s="86"/>
      <c r="Q632" s="4"/>
      <c r="R632" s="4"/>
      <c r="S632" s="4"/>
      <c r="T632" s="4"/>
      <c r="U632" s="4"/>
      <c r="V632" s="4"/>
      <c r="X632" s="4"/>
      <c r="Y632" s="4"/>
      <c r="AA632" s="4"/>
      <c r="AB632" s="4"/>
      <c r="AC632" s="4"/>
      <c r="AD632" s="95"/>
    </row>
    <row r="633" spans="14:30">
      <c r="N633" s="7"/>
      <c r="P633" s="86"/>
      <c r="Q633" s="4"/>
      <c r="R633" s="4"/>
      <c r="S633" s="4"/>
      <c r="T633" s="4"/>
      <c r="U633" s="4"/>
      <c r="V633" s="4"/>
      <c r="X633" s="4"/>
      <c r="Y633" s="4"/>
      <c r="AA633" s="4"/>
      <c r="AB633" s="4"/>
      <c r="AC633" s="4"/>
      <c r="AD633" s="95"/>
    </row>
    <row r="634" spans="14:30">
      <c r="N634" s="7"/>
      <c r="P634" s="86"/>
      <c r="Q634" s="4"/>
      <c r="R634" s="4"/>
      <c r="S634" s="4"/>
      <c r="T634" s="4"/>
      <c r="U634" s="4"/>
      <c r="V634" s="4"/>
      <c r="X634" s="4"/>
      <c r="Y634" s="4"/>
      <c r="AA634" s="4"/>
      <c r="AB634" s="4"/>
      <c r="AC634" s="4"/>
      <c r="AD634" s="95"/>
    </row>
    <row r="635" spans="14:30">
      <c r="N635" s="7"/>
      <c r="P635" s="86"/>
      <c r="Q635" s="4"/>
      <c r="R635" s="4"/>
      <c r="S635" s="4"/>
      <c r="T635" s="4"/>
      <c r="U635" s="4"/>
      <c r="V635" s="4"/>
      <c r="X635" s="4"/>
      <c r="Y635" s="4"/>
      <c r="AA635" s="4"/>
      <c r="AB635" s="4"/>
      <c r="AC635" s="4"/>
      <c r="AD635" s="95"/>
    </row>
    <row r="636" spans="14:30">
      <c r="N636" s="7"/>
      <c r="P636" s="86"/>
      <c r="Q636" s="4"/>
      <c r="R636" s="4"/>
      <c r="S636" s="4"/>
      <c r="T636" s="4"/>
      <c r="U636" s="4"/>
      <c r="V636" s="4"/>
      <c r="X636" s="4"/>
      <c r="Y636" s="4"/>
      <c r="AA636" s="4"/>
      <c r="AB636" s="4"/>
      <c r="AC636" s="4"/>
      <c r="AD636" s="95"/>
    </row>
    <row r="637" spans="14:30">
      <c r="N637" s="7"/>
      <c r="P637" s="86"/>
      <c r="Q637" s="4"/>
      <c r="R637" s="4"/>
      <c r="S637" s="4"/>
      <c r="T637" s="4"/>
      <c r="U637" s="4"/>
      <c r="V637" s="4"/>
      <c r="X637" s="4"/>
      <c r="Y637" s="4"/>
      <c r="AA637" s="4"/>
      <c r="AB637" s="4"/>
      <c r="AC637" s="4"/>
      <c r="AD637" s="95"/>
    </row>
    <row r="638" spans="14:30">
      <c r="N638" s="7"/>
      <c r="P638" s="86"/>
      <c r="Q638" s="4"/>
      <c r="R638" s="4"/>
      <c r="S638" s="4"/>
      <c r="T638" s="4"/>
      <c r="U638" s="4"/>
      <c r="V638" s="4"/>
      <c r="X638" s="4"/>
      <c r="Y638" s="4"/>
      <c r="AA638" s="4"/>
      <c r="AB638" s="4"/>
      <c r="AC638" s="4"/>
      <c r="AD638" s="95"/>
    </row>
    <row r="639" spans="14:30">
      <c r="N639" s="7"/>
      <c r="P639" s="86"/>
      <c r="Q639" s="4"/>
      <c r="R639" s="4"/>
      <c r="S639" s="4"/>
      <c r="T639" s="4"/>
      <c r="U639" s="4"/>
      <c r="V639" s="4"/>
      <c r="X639" s="4"/>
      <c r="Y639" s="4"/>
      <c r="AA639" s="4"/>
      <c r="AB639" s="4"/>
      <c r="AC639" s="4"/>
      <c r="AD639" s="95"/>
    </row>
    <row r="640" spans="14:30">
      <c r="N640" s="7"/>
      <c r="P640" s="86"/>
      <c r="Q640" s="4"/>
      <c r="R640" s="4"/>
      <c r="S640" s="4"/>
      <c r="T640" s="4"/>
      <c r="U640" s="4"/>
      <c r="V640" s="4"/>
      <c r="X640" s="4"/>
      <c r="Y640" s="4"/>
      <c r="AA640" s="4"/>
      <c r="AB640" s="4"/>
      <c r="AC640" s="4"/>
      <c r="AD640" s="95"/>
    </row>
    <row r="641" spans="14:30">
      <c r="N641" s="7"/>
      <c r="P641" s="86"/>
      <c r="Q641" s="4"/>
      <c r="R641" s="4"/>
      <c r="S641" s="4"/>
      <c r="T641" s="4"/>
      <c r="U641" s="4"/>
      <c r="V641" s="4"/>
      <c r="X641" s="4"/>
      <c r="Y641" s="4"/>
      <c r="AA641" s="4"/>
      <c r="AB641" s="4"/>
      <c r="AC641" s="4"/>
      <c r="AD641" s="95"/>
    </row>
    <row r="642" spans="14:30">
      <c r="N642" s="7"/>
      <c r="P642" s="86"/>
      <c r="Q642" s="4"/>
      <c r="R642" s="4"/>
      <c r="S642" s="4"/>
      <c r="T642" s="4"/>
      <c r="U642" s="4"/>
      <c r="V642" s="4"/>
      <c r="X642" s="4"/>
      <c r="Y642" s="4"/>
      <c r="AA642" s="4"/>
      <c r="AB642" s="4"/>
      <c r="AC642" s="4"/>
      <c r="AD642" s="95"/>
    </row>
    <row r="643" spans="14:30">
      <c r="N643" s="7"/>
      <c r="P643" s="86"/>
      <c r="Q643" s="4"/>
      <c r="R643" s="4"/>
      <c r="S643" s="4"/>
      <c r="T643" s="4"/>
      <c r="U643" s="4"/>
      <c r="V643" s="4"/>
      <c r="X643" s="4"/>
      <c r="Y643" s="4"/>
      <c r="AA643" s="4"/>
      <c r="AB643" s="4"/>
      <c r="AC643" s="4"/>
      <c r="AD643" s="95"/>
    </row>
    <row r="644" spans="14:30">
      <c r="N644" s="7"/>
      <c r="P644" s="86"/>
      <c r="Q644" s="4"/>
      <c r="R644" s="4"/>
      <c r="S644" s="4"/>
      <c r="T644" s="4"/>
      <c r="U644" s="4"/>
      <c r="V644" s="4"/>
      <c r="X644" s="4"/>
      <c r="Y644" s="4"/>
      <c r="AA644" s="4"/>
      <c r="AB644" s="4"/>
      <c r="AC644" s="4"/>
      <c r="AD644" s="95"/>
    </row>
    <row r="645" spans="14:30">
      <c r="N645" s="7"/>
      <c r="P645" s="86"/>
      <c r="Q645" s="4"/>
      <c r="R645" s="4"/>
      <c r="S645" s="4"/>
      <c r="T645" s="4"/>
      <c r="U645" s="4"/>
      <c r="V645" s="4"/>
      <c r="X645" s="4"/>
      <c r="Y645" s="4"/>
      <c r="AA645" s="4"/>
      <c r="AB645" s="4"/>
      <c r="AC645" s="4"/>
      <c r="AD645" s="95"/>
    </row>
    <row r="646" spans="14:30">
      <c r="N646" s="7"/>
      <c r="P646" s="86"/>
      <c r="Q646" s="4"/>
      <c r="R646" s="4"/>
      <c r="S646" s="4"/>
      <c r="T646" s="4"/>
      <c r="U646" s="4"/>
      <c r="V646" s="4"/>
      <c r="X646" s="4"/>
      <c r="Y646" s="4"/>
      <c r="AA646" s="4"/>
      <c r="AB646" s="4"/>
      <c r="AC646" s="4"/>
      <c r="AD646" s="95"/>
    </row>
    <row r="647" spans="14:30">
      <c r="N647" s="7"/>
      <c r="P647" s="86"/>
      <c r="Q647" s="4"/>
      <c r="R647" s="4"/>
      <c r="S647" s="4"/>
      <c r="T647" s="4"/>
      <c r="U647" s="4"/>
      <c r="V647" s="4"/>
      <c r="X647" s="4"/>
      <c r="Y647" s="4"/>
      <c r="AA647" s="4"/>
      <c r="AB647" s="4"/>
      <c r="AC647" s="4"/>
      <c r="AD647" s="95"/>
    </row>
    <row r="648" spans="14:30">
      <c r="N648" s="7"/>
      <c r="P648" s="86"/>
      <c r="Q648" s="4"/>
      <c r="R648" s="4"/>
      <c r="S648" s="4"/>
      <c r="T648" s="4"/>
      <c r="U648" s="4"/>
      <c r="V648" s="4"/>
      <c r="X648" s="4"/>
      <c r="Y648" s="4"/>
      <c r="AA648" s="4"/>
      <c r="AB648" s="4"/>
      <c r="AC648" s="4"/>
      <c r="AD648" s="95"/>
    </row>
    <row r="649" spans="14:30">
      <c r="N649" s="7"/>
      <c r="P649" s="86"/>
      <c r="Q649" s="4"/>
      <c r="R649" s="4"/>
      <c r="S649" s="4"/>
      <c r="T649" s="4"/>
      <c r="U649" s="4"/>
      <c r="V649" s="4"/>
      <c r="X649" s="4"/>
      <c r="Y649" s="4"/>
      <c r="AA649" s="4"/>
      <c r="AB649" s="4"/>
      <c r="AC649" s="4"/>
      <c r="AD649" s="95"/>
    </row>
    <row r="650" spans="14:30">
      <c r="N650" s="7"/>
      <c r="P650" s="86"/>
      <c r="Q650" s="4"/>
      <c r="R650" s="4"/>
      <c r="S650" s="4"/>
      <c r="T650" s="4"/>
      <c r="U650" s="4"/>
      <c r="V650" s="4"/>
      <c r="X650" s="4"/>
      <c r="Y650" s="4"/>
      <c r="AA650" s="4"/>
      <c r="AB650" s="4"/>
      <c r="AC650" s="4"/>
      <c r="AD650" s="95"/>
    </row>
    <row r="651" spans="14:30">
      <c r="N651" s="7"/>
      <c r="P651" s="86"/>
      <c r="Q651" s="4"/>
      <c r="R651" s="4"/>
      <c r="S651" s="4"/>
      <c r="T651" s="4"/>
      <c r="U651" s="4"/>
      <c r="V651" s="4"/>
      <c r="X651" s="4"/>
      <c r="Y651" s="4"/>
      <c r="AA651" s="4"/>
      <c r="AB651" s="4"/>
      <c r="AC651" s="4"/>
      <c r="AD651" s="95"/>
    </row>
    <row r="652" spans="14:30">
      <c r="N652" s="7"/>
      <c r="P652" s="86"/>
      <c r="Q652" s="4"/>
      <c r="R652" s="4"/>
      <c r="S652" s="4"/>
      <c r="T652" s="4"/>
      <c r="U652" s="4"/>
      <c r="V652" s="4"/>
      <c r="X652" s="4"/>
      <c r="Y652" s="4"/>
      <c r="AA652" s="4"/>
      <c r="AB652" s="4"/>
      <c r="AC652" s="4"/>
      <c r="AD652" s="95"/>
    </row>
    <row r="653" spans="14:30">
      <c r="N653" s="7"/>
      <c r="P653" s="86"/>
      <c r="Q653" s="4"/>
      <c r="R653" s="4"/>
      <c r="S653" s="4"/>
      <c r="T653" s="4"/>
      <c r="U653" s="4"/>
      <c r="V653" s="4"/>
      <c r="X653" s="4"/>
      <c r="Y653" s="4"/>
      <c r="AA653" s="4"/>
      <c r="AB653" s="4"/>
      <c r="AC653" s="4"/>
      <c r="AD653" s="95"/>
    </row>
    <row r="654" spans="14:30">
      <c r="N654" s="7"/>
      <c r="P654" s="86"/>
      <c r="Q654" s="4"/>
      <c r="R654" s="4"/>
      <c r="S654" s="4"/>
      <c r="T654" s="4"/>
      <c r="U654" s="4"/>
      <c r="V654" s="4"/>
      <c r="X654" s="4"/>
      <c r="Y654" s="4"/>
      <c r="AA654" s="4"/>
      <c r="AB654" s="4"/>
      <c r="AC654" s="4"/>
      <c r="AD654" s="95"/>
    </row>
    <row r="655" spans="14:30">
      <c r="N655" s="7"/>
      <c r="P655" s="86"/>
      <c r="Q655" s="4"/>
      <c r="R655" s="4"/>
      <c r="S655" s="4"/>
      <c r="T655" s="4"/>
      <c r="U655" s="4"/>
      <c r="V655" s="4"/>
      <c r="X655" s="4"/>
      <c r="Y655" s="4"/>
      <c r="AA655" s="4"/>
      <c r="AB655" s="4"/>
      <c r="AC655" s="4"/>
      <c r="AD655" s="95"/>
    </row>
    <row r="656" spans="14:30">
      <c r="N656" s="7"/>
      <c r="P656" s="86"/>
      <c r="Q656" s="4"/>
      <c r="R656" s="4"/>
      <c r="S656" s="4"/>
      <c r="T656" s="4"/>
      <c r="U656" s="4"/>
      <c r="V656" s="4"/>
      <c r="X656" s="4"/>
      <c r="Y656" s="4"/>
      <c r="AA656" s="4"/>
      <c r="AB656" s="4"/>
      <c r="AC656" s="4"/>
      <c r="AD656" s="95"/>
    </row>
    <row r="657" spans="14:30">
      <c r="N657" s="7"/>
      <c r="P657" s="86"/>
      <c r="Q657" s="4"/>
      <c r="R657" s="4"/>
      <c r="S657" s="4"/>
      <c r="T657" s="4"/>
      <c r="U657" s="4"/>
      <c r="V657" s="4"/>
      <c r="X657" s="4"/>
      <c r="Y657" s="4"/>
      <c r="AA657" s="4"/>
      <c r="AB657" s="4"/>
      <c r="AC657" s="4"/>
      <c r="AD657" s="95"/>
    </row>
    <row r="658" spans="14:30">
      <c r="N658" s="7"/>
      <c r="P658" s="86"/>
      <c r="Q658" s="4"/>
      <c r="R658" s="4"/>
      <c r="S658" s="4"/>
      <c r="T658" s="4"/>
      <c r="U658" s="4"/>
      <c r="V658" s="4"/>
      <c r="X658" s="4"/>
      <c r="Y658" s="4"/>
      <c r="AA658" s="4"/>
      <c r="AB658" s="4"/>
      <c r="AC658" s="4"/>
      <c r="AD658" s="95"/>
    </row>
    <row r="659" spans="14:30">
      <c r="N659" s="7"/>
      <c r="P659" s="86"/>
      <c r="Q659" s="4"/>
      <c r="R659" s="4"/>
      <c r="S659" s="4"/>
      <c r="T659" s="4"/>
      <c r="U659" s="4"/>
      <c r="V659" s="4"/>
      <c r="X659" s="4"/>
      <c r="Y659" s="4"/>
      <c r="AA659" s="4"/>
      <c r="AB659" s="4"/>
      <c r="AC659" s="4"/>
      <c r="AD659" s="95"/>
    </row>
    <row r="660" spans="14:30">
      <c r="N660" s="7"/>
      <c r="P660" s="86"/>
      <c r="Q660" s="4"/>
      <c r="R660" s="4"/>
      <c r="S660" s="4"/>
      <c r="T660" s="4"/>
      <c r="U660" s="4"/>
      <c r="V660" s="4"/>
      <c r="X660" s="4"/>
      <c r="Y660" s="4"/>
      <c r="AA660" s="4"/>
      <c r="AB660" s="4"/>
      <c r="AC660" s="4"/>
      <c r="AD660" s="95"/>
    </row>
    <row r="661" spans="14:30">
      <c r="N661" s="7"/>
      <c r="P661" s="86"/>
      <c r="Q661" s="4"/>
      <c r="R661" s="4"/>
      <c r="S661" s="4"/>
      <c r="T661" s="4"/>
      <c r="U661" s="4"/>
      <c r="V661" s="4"/>
      <c r="X661" s="4"/>
      <c r="Y661" s="4"/>
      <c r="AA661" s="4"/>
      <c r="AB661" s="4"/>
      <c r="AC661" s="4"/>
      <c r="AD661" s="95"/>
    </row>
    <row r="662" spans="14:30">
      <c r="N662" s="7"/>
      <c r="P662" s="86"/>
      <c r="Q662" s="4"/>
      <c r="R662" s="4"/>
      <c r="S662" s="4"/>
      <c r="T662" s="4"/>
      <c r="U662" s="4"/>
      <c r="V662" s="4"/>
      <c r="X662" s="4"/>
      <c r="Y662" s="4"/>
      <c r="AA662" s="4"/>
      <c r="AB662" s="4"/>
      <c r="AC662" s="4"/>
      <c r="AD662" s="95"/>
    </row>
    <row r="663" spans="14:30">
      <c r="N663" s="7"/>
      <c r="P663" s="86"/>
      <c r="Q663" s="4"/>
      <c r="R663" s="4"/>
      <c r="S663" s="4"/>
      <c r="T663" s="4"/>
      <c r="U663" s="4"/>
      <c r="V663" s="4"/>
      <c r="X663" s="4"/>
      <c r="Y663" s="4"/>
      <c r="AA663" s="4"/>
      <c r="AB663" s="4"/>
      <c r="AC663" s="4"/>
      <c r="AD663" s="95"/>
    </row>
    <row r="664" spans="14:30">
      <c r="N664" s="7"/>
      <c r="P664" s="86"/>
      <c r="Q664" s="4"/>
      <c r="R664" s="4"/>
      <c r="S664" s="4"/>
      <c r="T664" s="4"/>
      <c r="U664" s="4"/>
      <c r="V664" s="4"/>
      <c r="X664" s="4"/>
      <c r="Y664" s="4"/>
      <c r="AA664" s="4"/>
      <c r="AB664" s="4"/>
      <c r="AC664" s="4"/>
      <c r="AD664" s="95"/>
    </row>
    <row r="665" spans="14:30">
      <c r="N665" s="7"/>
      <c r="P665" s="86"/>
      <c r="Q665" s="4"/>
      <c r="R665" s="4"/>
      <c r="S665" s="4"/>
      <c r="T665" s="4"/>
      <c r="U665" s="4"/>
      <c r="V665" s="4"/>
      <c r="X665" s="4"/>
      <c r="Y665" s="4"/>
      <c r="AA665" s="4"/>
      <c r="AB665" s="4"/>
      <c r="AC665" s="4"/>
      <c r="AD665" s="95"/>
    </row>
    <row r="666" spans="14:30">
      <c r="N666" s="7"/>
      <c r="P666" s="86"/>
      <c r="Q666" s="4"/>
      <c r="R666" s="4"/>
      <c r="S666" s="4"/>
      <c r="T666" s="4"/>
      <c r="U666" s="4"/>
      <c r="V666" s="4"/>
      <c r="X666" s="4"/>
      <c r="Y666" s="4"/>
      <c r="AA666" s="4"/>
      <c r="AB666" s="4"/>
      <c r="AC666" s="4"/>
      <c r="AD666" s="95"/>
    </row>
    <row r="667" spans="14:30">
      <c r="N667" s="7"/>
      <c r="P667" s="86"/>
      <c r="Q667" s="4"/>
      <c r="R667" s="4"/>
      <c r="S667" s="4"/>
      <c r="T667" s="4"/>
      <c r="U667" s="4"/>
      <c r="V667" s="4"/>
      <c r="X667" s="4"/>
      <c r="Y667" s="4"/>
      <c r="AA667" s="4"/>
      <c r="AB667" s="4"/>
      <c r="AC667" s="4"/>
      <c r="AD667" s="95"/>
    </row>
    <row r="668" spans="14:30">
      <c r="N668" s="7"/>
      <c r="P668" s="86"/>
      <c r="Q668" s="4"/>
      <c r="R668" s="4"/>
      <c r="S668" s="4"/>
      <c r="T668" s="4"/>
      <c r="U668" s="4"/>
      <c r="V668" s="4"/>
      <c r="X668" s="4"/>
      <c r="Y668" s="4"/>
      <c r="AA668" s="4"/>
      <c r="AB668" s="4"/>
      <c r="AC668" s="4"/>
      <c r="AD668" s="95"/>
    </row>
    <row r="669" spans="14:30">
      <c r="N669" s="7"/>
      <c r="P669" s="86"/>
      <c r="Q669" s="4"/>
      <c r="R669" s="4"/>
      <c r="S669" s="4"/>
      <c r="T669" s="4"/>
      <c r="U669" s="4"/>
      <c r="V669" s="4"/>
      <c r="X669" s="4"/>
      <c r="Y669" s="4"/>
      <c r="AA669" s="4"/>
      <c r="AB669" s="4"/>
      <c r="AC669" s="4"/>
      <c r="AD669" s="95"/>
    </row>
    <row r="670" spans="14:30">
      <c r="N670" s="7"/>
      <c r="P670" s="86"/>
      <c r="Q670" s="4"/>
      <c r="R670" s="4"/>
      <c r="S670" s="4"/>
      <c r="T670" s="4"/>
      <c r="U670" s="4"/>
      <c r="V670" s="4"/>
      <c r="X670" s="4"/>
      <c r="Y670" s="4"/>
      <c r="AA670" s="4"/>
      <c r="AB670" s="4"/>
      <c r="AC670" s="4"/>
      <c r="AD670" s="95"/>
    </row>
    <row r="671" spans="14:30">
      <c r="N671" s="7"/>
      <c r="P671" s="86"/>
      <c r="Q671" s="4"/>
      <c r="R671" s="4"/>
      <c r="S671" s="4"/>
      <c r="T671" s="4"/>
      <c r="U671" s="4"/>
      <c r="V671" s="4"/>
      <c r="X671" s="4"/>
      <c r="Y671" s="4"/>
      <c r="AA671" s="4"/>
      <c r="AB671" s="4"/>
      <c r="AC671" s="4"/>
      <c r="AD671" s="95"/>
    </row>
    <row r="672" spans="14:30">
      <c r="N672" s="7"/>
      <c r="P672" s="86"/>
      <c r="Q672" s="4"/>
      <c r="R672" s="4"/>
      <c r="S672" s="4"/>
      <c r="T672" s="4"/>
      <c r="U672" s="4"/>
      <c r="V672" s="4"/>
      <c r="X672" s="4"/>
      <c r="Y672" s="4"/>
      <c r="AA672" s="4"/>
      <c r="AB672" s="4"/>
      <c r="AC672" s="4"/>
      <c r="AD672" s="95"/>
    </row>
    <row r="673" spans="14:30">
      <c r="N673" s="7"/>
      <c r="P673" s="86"/>
      <c r="Q673" s="4"/>
      <c r="R673" s="4"/>
      <c r="S673" s="4"/>
      <c r="T673" s="4"/>
      <c r="U673" s="4"/>
      <c r="V673" s="4"/>
      <c r="X673" s="4"/>
      <c r="Y673" s="4"/>
      <c r="AA673" s="4"/>
      <c r="AB673" s="4"/>
      <c r="AC673" s="4"/>
      <c r="AD673" s="95"/>
    </row>
    <row r="674" spans="14:30">
      <c r="N674" s="7"/>
      <c r="P674" s="86"/>
      <c r="Q674" s="4"/>
      <c r="R674" s="4"/>
      <c r="S674" s="4"/>
      <c r="T674" s="4"/>
      <c r="U674" s="4"/>
      <c r="V674" s="4"/>
      <c r="X674" s="4"/>
      <c r="Y674" s="4"/>
      <c r="AA674" s="4"/>
      <c r="AB674" s="4"/>
      <c r="AC674" s="4"/>
      <c r="AD674" s="95"/>
    </row>
    <row r="675" spans="14:30">
      <c r="N675" s="7"/>
      <c r="P675" s="86"/>
      <c r="Q675" s="4"/>
      <c r="R675" s="4"/>
      <c r="S675" s="4"/>
      <c r="T675" s="4"/>
      <c r="U675" s="4"/>
      <c r="V675" s="4"/>
      <c r="X675" s="4"/>
      <c r="Y675" s="4"/>
      <c r="AA675" s="4"/>
      <c r="AB675" s="4"/>
      <c r="AC675" s="4"/>
      <c r="AD675" s="95"/>
    </row>
    <row r="676" spans="14:30">
      <c r="N676" s="7"/>
      <c r="P676" s="86"/>
      <c r="Q676" s="4"/>
      <c r="R676" s="4"/>
      <c r="S676" s="4"/>
      <c r="T676" s="4"/>
      <c r="U676" s="4"/>
      <c r="V676" s="4"/>
      <c r="X676" s="4"/>
      <c r="Y676" s="4"/>
      <c r="AA676" s="4"/>
      <c r="AB676" s="4"/>
      <c r="AC676" s="4"/>
      <c r="AD676" s="95"/>
    </row>
    <row r="677" spans="14:30">
      <c r="N677" s="7"/>
      <c r="P677" s="86"/>
      <c r="Q677" s="4"/>
      <c r="R677" s="4"/>
      <c r="S677" s="4"/>
      <c r="T677" s="4"/>
      <c r="U677" s="4"/>
      <c r="V677" s="4"/>
      <c r="X677" s="4"/>
      <c r="Y677" s="4"/>
      <c r="AA677" s="4"/>
      <c r="AB677" s="4"/>
      <c r="AC677" s="4"/>
      <c r="AD677" s="95"/>
    </row>
    <row r="678" spans="14:30">
      <c r="N678" s="7"/>
      <c r="P678" s="86"/>
      <c r="Q678" s="4"/>
      <c r="R678" s="4"/>
      <c r="S678" s="4"/>
      <c r="T678" s="4"/>
      <c r="U678" s="4"/>
      <c r="V678" s="4"/>
      <c r="X678" s="4"/>
      <c r="Y678" s="4"/>
      <c r="AA678" s="4"/>
      <c r="AB678" s="4"/>
      <c r="AC678" s="4"/>
      <c r="AD678" s="95"/>
    </row>
    <row r="679" spans="14:30">
      <c r="N679" s="7"/>
      <c r="P679" s="86"/>
      <c r="Q679" s="4"/>
      <c r="R679" s="4"/>
      <c r="S679" s="4"/>
      <c r="T679" s="4"/>
      <c r="U679" s="4"/>
      <c r="V679" s="4"/>
      <c r="X679" s="4"/>
      <c r="Y679" s="4"/>
      <c r="AA679" s="4"/>
      <c r="AB679" s="4"/>
      <c r="AC679" s="4"/>
      <c r="AD679" s="95"/>
    </row>
    <row r="680" spans="14:30">
      <c r="N680" s="7"/>
      <c r="P680" s="86"/>
      <c r="Q680" s="4"/>
      <c r="R680" s="4"/>
      <c r="S680" s="4"/>
      <c r="T680" s="4"/>
      <c r="U680" s="4"/>
      <c r="V680" s="4"/>
      <c r="X680" s="4"/>
      <c r="Y680" s="4"/>
      <c r="AA680" s="4"/>
      <c r="AB680" s="4"/>
      <c r="AC680" s="4"/>
      <c r="AD680" s="95"/>
    </row>
    <row r="681" spans="14:30">
      <c r="N681" s="7"/>
      <c r="P681" s="86"/>
      <c r="Q681" s="4"/>
      <c r="R681" s="4"/>
      <c r="S681" s="4"/>
      <c r="T681" s="4"/>
      <c r="U681" s="4"/>
      <c r="V681" s="4"/>
      <c r="X681" s="4"/>
      <c r="Y681" s="4"/>
      <c r="AA681" s="4"/>
      <c r="AB681" s="4"/>
      <c r="AC681" s="4"/>
      <c r="AD681" s="95"/>
    </row>
    <row r="682" spans="14:30">
      <c r="N682" s="7"/>
      <c r="P682" s="86"/>
      <c r="Q682" s="4"/>
      <c r="R682" s="4"/>
      <c r="S682" s="4"/>
      <c r="T682" s="4"/>
      <c r="U682" s="4"/>
      <c r="V682" s="4"/>
      <c r="X682" s="4"/>
      <c r="Y682" s="4"/>
      <c r="AA682" s="4"/>
      <c r="AB682" s="4"/>
      <c r="AC682" s="4"/>
      <c r="AD682" s="95"/>
    </row>
    <row r="683" spans="14:30">
      <c r="N683" s="7"/>
      <c r="P683" s="86"/>
      <c r="Q683" s="4"/>
      <c r="R683" s="4"/>
      <c r="S683" s="4"/>
      <c r="T683" s="4"/>
      <c r="U683" s="4"/>
      <c r="V683" s="4"/>
      <c r="X683" s="4"/>
      <c r="Y683" s="4"/>
      <c r="AA683" s="4"/>
      <c r="AB683" s="4"/>
      <c r="AC683" s="4"/>
      <c r="AD683" s="95"/>
    </row>
    <row r="684" spans="14:30">
      <c r="N684" s="7"/>
      <c r="P684" s="86"/>
      <c r="Q684" s="4"/>
      <c r="R684" s="4"/>
      <c r="S684" s="4"/>
      <c r="T684" s="4"/>
      <c r="U684" s="4"/>
      <c r="V684" s="4"/>
      <c r="X684" s="4"/>
      <c r="Y684" s="4"/>
      <c r="AA684" s="4"/>
      <c r="AB684" s="4"/>
      <c r="AC684" s="4"/>
      <c r="AD684" s="95"/>
    </row>
    <row r="685" spans="14:30">
      <c r="N685" s="7"/>
      <c r="P685" s="86"/>
      <c r="Q685" s="4"/>
      <c r="R685" s="4"/>
      <c r="S685" s="4"/>
      <c r="T685" s="4"/>
      <c r="U685" s="4"/>
      <c r="V685" s="4"/>
      <c r="X685" s="4"/>
      <c r="Y685" s="4"/>
      <c r="AA685" s="4"/>
      <c r="AB685" s="4"/>
      <c r="AC685" s="4"/>
      <c r="AD685" s="95"/>
    </row>
    <row r="686" spans="14:30">
      <c r="N686" s="7"/>
      <c r="P686" s="86"/>
      <c r="Q686" s="4"/>
      <c r="R686" s="4"/>
      <c r="S686" s="4"/>
      <c r="T686" s="4"/>
      <c r="U686" s="4"/>
      <c r="V686" s="4"/>
      <c r="X686" s="4"/>
      <c r="Y686" s="4"/>
      <c r="AA686" s="4"/>
      <c r="AB686" s="4"/>
      <c r="AC686" s="4"/>
      <c r="AD686" s="95"/>
    </row>
    <row r="687" spans="14:30">
      <c r="N687" s="7"/>
      <c r="P687" s="86"/>
      <c r="Q687" s="4"/>
      <c r="R687" s="4"/>
      <c r="S687" s="4"/>
      <c r="T687" s="4"/>
      <c r="U687" s="4"/>
      <c r="V687" s="4"/>
      <c r="X687" s="4"/>
      <c r="Y687" s="4"/>
      <c r="AA687" s="4"/>
      <c r="AB687" s="4"/>
      <c r="AC687" s="4"/>
      <c r="AD687" s="95"/>
    </row>
    <row r="688" spans="14:30">
      <c r="N688" s="7"/>
      <c r="P688" s="86"/>
      <c r="Q688" s="4"/>
      <c r="R688" s="4"/>
      <c r="S688" s="4"/>
      <c r="T688" s="4"/>
      <c r="U688" s="4"/>
      <c r="V688" s="4"/>
      <c r="X688" s="4"/>
      <c r="Y688" s="4"/>
      <c r="AA688" s="4"/>
      <c r="AB688" s="4"/>
      <c r="AC688" s="4"/>
      <c r="AD688" s="95"/>
    </row>
    <row r="689" spans="14:30">
      <c r="N689" s="7"/>
      <c r="P689" s="86"/>
      <c r="Q689" s="4"/>
      <c r="R689" s="4"/>
      <c r="S689" s="4"/>
      <c r="T689" s="4"/>
      <c r="U689" s="4"/>
      <c r="V689" s="4"/>
      <c r="X689" s="4"/>
      <c r="Y689" s="4"/>
      <c r="AA689" s="4"/>
      <c r="AB689" s="4"/>
      <c r="AC689" s="4"/>
      <c r="AD689" s="95"/>
    </row>
    <row r="690" spans="14:30">
      <c r="N690" s="7"/>
      <c r="P690" s="86"/>
      <c r="Q690" s="4"/>
      <c r="R690" s="4"/>
      <c r="S690" s="4"/>
      <c r="T690" s="4"/>
      <c r="U690" s="4"/>
      <c r="V690" s="4"/>
      <c r="X690" s="4"/>
      <c r="Y690" s="4"/>
      <c r="AA690" s="4"/>
      <c r="AB690" s="4"/>
      <c r="AC690" s="4"/>
      <c r="AD690" s="95"/>
    </row>
    <row r="691" spans="14:30">
      <c r="N691" s="7"/>
      <c r="P691" s="86"/>
      <c r="Q691" s="4"/>
      <c r="R691" s="4"/>
      <c r="S691" s="4"/>
      <c r="T691" s="4"/>
      <c r="U691" s="4"/>
      <c r="V691" s="4"/>
      <c r="X691" s="4"/>
      <c r="Y691" s="4"/>
      <c r="AA691" s="4"/>
      <c r="AB691" s="4"/>
      <c r="AC691" s="4"/>
      <c r="AD691" s="95"/>
    </row>
    <row r="692" spans="14:30">
      <c r="N692" s="7"/>
      <c r="P692" s="86"/>
      <c r="Q692" s="4"/>
      <c r="R692" s="4"/>
      <c r="S692" s="4"/>
      <c r="T692" s="4"/>
      <c r="U692" s="4"/>
      <c r="V692" s="4"/>
      <c r="X692" s="4"/>
      <c r="Y692" s="4"/>
      <c r="AA692" s="4"/>
      <c r="AB692" s="4"/>
      <c r="AC692" s="4"/>
      <c r="AD692" s="95"/>
    </row>
    <row r="693" spans="14:30">
      <c r="N693" s="7"/>
      <c r="P693" s="86"/>
      <c r="Q693" s="4"/>
      <c r="R693" s="4"/>
      <c r="S693" s="4"/>
      <c r="T693" s="4"/>
      <c r="U693" s="4"/>
      <c r="V693" s="4"/>
      <c r="X693" s="4"/>
      <c r="Y693" s="4"/>
      <c r="AA693" s="4"/>
      <c r="AB693" s="4"/>
      <c r="AC693" s="4"/>
      <c r="AD693" s="95"/>
    </row>
    <row r="694" spans="14:30">
      <c r="N694" s="7"/>
      <c r="P694" s="86"/>
      <c r="Q694" s="4"/>
      <c r="R694" s="4"/>
      <c r="S694" s="4"/>
      <c r="T694" s="4"/>
      <c r="U694" s="4"/>
      <c r="V694" s="4"/>
      <c r="X694" s="4"/>
      <c r="Y694" s="4"/>
      <c r="AA694" s="4"/>
      <c r="AB694" s="4"/>
      <c r="AC694" s="4"/>
      <c r="AD694" s="95"/>
    </row>
    <row r="695" spans="14:30">
      <c r="N695" s="7"/>
      <c r="P695" s="86"/>
      <c r="Q695" s="4"/>
      <c r="R695" s="4"/>
      <c r="S695" s="4"/>
      <c r="T695" s="4"/>
      <c r="U695" s="4"/>
      <c r="V695" s="4"/>
      <c r="X695" s="4"/>
      <c r="Y695" s="4"/>
      <c r="AA695" s="4"/>
      <c r="AB695" s="4"/>
      <c r="AC695" s="4"/>
      <c r="AD695" s="95"/>
    </row>
    <row r="696" spans="14:30">
      <c r="N696" s="7"/>
      <c r="P696" s="86"/>
      <c r="Q696" s="4"/>
      <c r="R696" s="4"/>
      <c r="S696" s="4"/>
      <c r="T696" s="4"/>
      <c r="U696" s="4"/>
      <c r="V696" s="4"/>
      <c r="X696" s="4"/>
      <c r="Y696" s="4"/>
      <c r="AA696" s="4"/>
      <c r="AB696" s="4"/>
      <c r="AC696" s="4"/>
      <c r="AD696" s="95"/>
    </row>
    <row r="697" spans="14:30">
      <c r="N697" s="7"/>
      <c r="P697" s="86"/>
      <c r="Q697" s="4"/>
      <c r="R697" s="4"/>
      <c r="S697" s="4"/>
      <c r="T697" s="4"/>
      <c r="U697" s="4"/>
      <c r="V697" s="4"/>
      <c r="X697" s="4"/>
      <c r="Y697" s="4"/>
      <c r="AA697" s="4"/>
      <c r="AB697" s="4"/>
      <c r="AC697" s="4"/>
      <c r="AD697" s="95"/>
    </row>
    <row r="698" spans="14:30">
      <c r="N698" s="7"/>
      <c r="P698" s="86"/>
      <c r="Q698" s="4"/>
      <c r="R698" s="4"/>
      <c r="S698" s="4"/>
      <c r="T698" s="4"/>
      <c r="U698" s="4"/>
      <c r="V698" s="4"/>
      <c r="X698" s="4"/>
      <c r="Y698" s="4"/>
      <c r="AA698" s="4"/>
      <c r="AB698" s="4"/>
      <c r="AC698" s="4"/>
      <c r="AD698" s="95"/>
    </row>
    <row r="699" spans="14:30">
      <c r="N699" s="7"/>
      <c r="P699" s="86"/>
      <c r="Q699" s="4"/>
      <c r="R699" s="4"/>
      <c r="S699" s="4"/>
      <c r="T699" s="4"/>
      <c r="U699" s="4"/>
      <c r="V699" s="4"/>
      <c r="X699" s="4"/>
      <c r="Y699" s="4"/>
      <c r="AA699" s="4"/>
      <c r="AB699" s="4"/>
      <c r="AC699" s="4"/>
      <c r="AD699" s="95"/>
    </row>
    <row r="700" spans="14:30">
      <c r="N700" s="7"/>
      <c r="P700" s="86"/>
      <c r="Q700" s="4"/>
      <c r="R700" s="4"/>
      <c r="S700" s="4"/>
      <c r="T700" s="4"/>
      <c r="U700" s="4"/>
      <c r="V700" s="4"/>
      <c r="X700" s="4"/>
      <c r="Y700" s="4"/>
      <c r="AA700" s="4"/>
      <c r="AB700" s="4"/>
      <c r="AC700" s="4"/>
      <c r="AD700" s="95"/>
    </row>
    <row r="701" spans="14:30">
      <c r="N701" s="7"/>
      <c r="P701" s="86"/>
      <c r="Q701" s="4"/>
      <c r="R701" s="4"/>
      <c r="S701" s="4"/>
      <c r="T701" s="4"/>
      <c r="U701" s="4"/>
      <c r="V701" s="4"/>
      <c r="X701" s="4"/>
      <c r="Y701" s="4"/>
      <c r="AA701" s="4"/>
      <c r="AB701" s="4"/>
      <c r="AC701" s="4"/>
      <c r="AD701" s="95"/>
    </row>
    <row r="702" spans="14:30">
      <c r="N702" s="7"/>
      <c r="P702" s="86"/>
      <c r="Q702" s="4"/>
      <c r="R702" s="4"/>
      <c r="S702" s="4"/>
      <c r="T702" s="4"/>
      <c r="U702" s="4"/>
      <c r="V702" s="4"/>
      <c r="X702" s="4"/>
      <c r="Y702" s="4"/>
      <c r="AA702" s="4"/>
      <c r="AB702" s="4"/>
      <c r="AC702" s="4"/>
      <c r="AD702" s="95"/>
    </row>
    <row r="703" spans="14:30">
      <c r="N703" s="7"/>
      <c r="P703" s="86"/>
      <c r="Q703" s="4"/>
      <c r="R703" s="4"/>
      <c r="S703" s="4"/>
      <c r="T703" s="4"/>
      <c r="U703" s="4"/>
      <c r="V703" s="4"/>
      <c r="X703" s="4"/>
      <c r="Y703" s="4"/>
      <c r="AA703" s="4"/>
      <c r="AB703" s="4"/>
      <c r="AC703" s="4"/>
      <c r="AD703" s="95"/>
    </row>
    <row r="704" spans="14:30">
      <c r="N704" s="7"/>
      <c r="P704" s="86"/>
      <c r="Q704" s="4"/>
      <c r="R704" s="4"/>
      <c r="S704" s="4"/>
      <c r="T704" s="4"/>
      <c r="U704" s="4"/>
      <c r="V704" s="4"/>
      <c r="X704" s="4"/>
      <c r="Y704" s="4"/>
      <c r="AA704" s="4"/>
      <c r="AB704" s="4"/>
      <c r="AC704" s="4"/>
      <c r="AD704" s="95"/>
    </row>
    <row r="705" spans="14:30">
      <c r="N705" s="7"/>
      <c r="P705" s="86"/>
      <c r="Q705" s="4"/>
      <c r="R705" s="4"/>
      <c r="S705" s="4"/>
      <c r="T705" s="4"/>
      <c r="U705" s="4"/>
      <c r="V705" s="4"/>
      <c r="X705" s="4"/>
      <c r="Y705" s="4"/>
      <c r="AA705" s="4"/>
      <c r="AB705" s="4"/>
      <c r="AC705" s="4"/>
      <c r="AD705" s="95"/>
    </row>
    <row r="706" spans="14:30">
      <c r="N706" s="7"/>
      <c r="P706" s="86"/>
      <c r="Q706" s="4"/>
      <c r="R706" s="4"/>
      <c r="S706" s="4"/>
      <c r="T706" s="4"/>
      <c r="U706" s="4"/>
      <c r="V706" s="4"/>
      <c r="X706" s="4"/>
      <c r="Y706" s="4"/>
      <c r="AA706" s="4"/>
      <c r="AB706" s="4"/>
      <c r="AC706" s="4"/>
      <c r="AD706" s="95"/>
    </row>
    <row r="707" spans="14:30">
      <c r="N707" s="7"/>
      <c r="P707" s="86"/>
      <c r="Q707" s="4"/>
      <c r="R707" s="4"/>
      <c r="S707" s="4"/>
      <c r="T707" s="4"/>
      <c r="U707" s="4"/>
      <c r="V707" s="4"/>
      <c r="X707" s="4"/>
      <c r="Y707" s="4"/>
      <c r="AA707" s="4"/>
      <c r="AB707" s="4"/>
      <c r="AC707" s="4"/>
      <c r="AD707" s="95"/>
    </row>
    <row r="708" spans="14:30">
      <c r="N708" s="7"/>
      <c r="P708" s="86"/>
      <c r="Q708" s="4"/>
      <c r="R708" s="4"/>
      <c r="S708" s="4"/>
      <c r="T708" s="4"/>
      <c r="U708" s="4"/>
      <c r="V708" s="4"/>
      <c r="X708" s="4"/>
      <c r="Y708" s="4"/>
      <c r="AA708" s="4"/>
      <c r="AB708" s="4"/>
      <c r="AC708" s="4"/>
      <c r="AD708" s="95"/>
    </row>
  </sheetData>
  <mergeCells count="46">
    <mergeCell ref="A1:M1"/>
    <mergeCell ref="N1:X1"/>
    <mergeCell ref="AF2:AR2"/>
    <mergeCell ref="P4:AE4"/>
    <mergeCell ref="AS4:BE4"/>
    <mergeCell ref="BF4:BH4"/>
    <mergeCell ref="BI4:BK4"/>
    <mergeCell ref="BL4:BM4"/>
    <mergeCell ref="Q5:S5"/>
    <mergeCell ref="T5:V5"/>
    <mergeCell ref="W5:Y5"/>
    <mergeCell ref="Z5:AB5"/>
    <mergeCell ref="AC5:AE5"/>
    <mergeCell ref="AG5:AI5"/>
    <mergeCell ref="AJ5:AL5"/>
    <mergeCell ref="AM5:AO5"/>
    <mergeCell ref="AP5:AR5"/>
    <mergeCell ref="AT5:AV5"/>
    <mergeCell ref="AW5:AY5"/>
    <mergeCell ref="AZ5:BB5"/>
    <mergeCell ref="BC5:BE5"/>
    <mergeCell ref="BF5:BH5"/>
    <mergeCell ref="BI5:BK5"/>
    <mergeCell ref="BL5:BM5"/>
    <mergeCell ref="E6:K6"/>
    <mergeCell ref="P16:AE16"/>
    <mergeCell ref="AF16:AR16"/>
    <mergeCell ref="AS16:BE16"/>
    <mergeCell ref="BF16:BH16"/>
    <mergeCell ref="BI16:BK16"/>
    <mergeCell ref="BL16:BM16"/>
    <mergeCell ref="Q17:S17"/>
    <mergeCell ref="T17:V17"/>
    <mergeCell ref="W17:Y17"/>
    <mergeCell ref="Z17:AB17"/>
    <mergeCell ref="AC17:AE17"/>
    <mergeCell ref="AG17:AI17"/>
    <mergeCell ref="AJ17:AL17"/>
    <mergeCell ref="AM17:AO17"/>
    <mergeCell ref="AP17:AR17"/>
    <mergeCell ref="AT17:AV17"/>
    <mergeCell ref="AW17:AY17"/>
    <mergeCell ref="AZ17:BB17"/>
    <mergeCell ref="BC17:BE17"/>
    <mergeCell ref="BF17:BH17"/>
    <mergeCell ref="BI17:BK17"/>
  </mergeCells>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53"/>
  <sheetViews>
    <sheetView zoomScale="85" zoomScaleNormal="85" topLeftCell="A13" workbookViewId="0">
      <selection activeCell="G41" sqref="G41"/>
    </sheetView>
  </sheetViews>
  <sheetFormatPr defaultColWidth="9" defaultRowHeight="15"/>
  <cols>
    <col min="1" max="1" width="26.8571428571429" customWidth="1"/>
    <col min="2" max="2" width="25.5714285714286" customWidth="1"/>
    <col min="3" max="3" width="10.1428571428571" customWidth="1"/>
  </cols>
  <sheetData>
    <row r="1" ht="27.75" spans="1:9">
      <c r="A1" s="1" t="s">
        <v>513</v>
      </c>
      <c r="B1" s="1"/>
      <c r="C1" s="1"/>
      <c r="D1" s="1"/>
      <c r="E1" s="1"/>
      <c r="F1" s="1"/>
      <c r="G1" s="1"/>
      <c r="H1" s="1"/>
      <c r="I1" s="1"/>
    </row>
    <row r="2" spans="1:9">
      <c r="A2" s="2"/>
      <c r="B2" s="2" t="s">
        <v>91</v>
      </c>
      <c r="C2" s="3"/>
      <c r="D2" s="4"/>
      <c r="E2" s="2"/>
      <c r="F2" s="2"/>
      <c r="G2" s="2"/>
      <c r="H2" s="2"/>
      <c r="I2" s="2"/>
    </row>
    <row r="3" spans="1:9">
      <c r="A3" s="2"/>
      <c r="B3" s="2" t="s">
        <v>92</v>
      </c>
      <c r="C3" s="5"/>
      <c r="D3" s="4"/>
      <c r="E3" s="2"/>
      <c r="F3" s="2"/>
      <c r="G3" s="2"/>
      <c r="H3" s="2"/>
      <c r="I3" s="2"/>
    </row>
    <row r="4" spans="1:9">
      <c r="A4" s="2"/>
      <c r="B4" s="2" t="s">
        <v>96</v>
      </c>
      <c r="C4" s="6"/>
      <c r="D4" s="4"/>
      <c r="E4" s="2"/>
      <c r="F4" s="2"/>
      <c r="G4" s="2"/>
      <c r="H4" s="2"/>
      <c r="I4" s="2"/>
    </row>
    <row r="5" spans="1:9">
      <c r="A5" s="7" t="s">
        <v>97</v>
      </c>
      <c r="B5" s="7" t="s">
        <v>98</v>
      </c>
      <c r="C5" s="7" t="s">
        <v>99</v>
      </c>
      <c r="D5" s="4"/>
      <c r="E5" s="8" t="s">
        <v>100</v>
      </c>
      <c r="F5" s="8"/>
      <c r="G5" s="8"/>
      <c r="H5" s="8"/>
      <c r="I5" s="7"/>
    </row>
    <row r="6" customFormat="1" spans="1:9">
      <c r="A6" s="7"/>
      <c r="B6" s="7"/>
      <c r="C6" s="7"/>
      <c r="D6" s="9" t="s">
        <v>514</v>
      </c>
      <c r="E6" s="8"/>
      <c r="F6" s="8"/>
      <c r="G6" s="8"/>
      <c r="H6" s="8"/>
      <c r="I6" s="7"/>
    </row>
    <row r="7" customFormat="1" spans="1:9">
      <c r="A7" s="7" t="s">
        <v>515</v>
      </c>
      <c r="B7" s="7"/>
      <c r="C7" s="7"/>
      <c r="D7" s="4"/>
      <c r="E7" s="8"/>
      <c r="F7" s="8"/>
      <c r="G7" s="8"/>
      <c r="H7" s="8"/>
      <c r="I7" s="7"/>
    </row>
    <row r="8" customFormat="1" spans="1:9">
      <c r="A8" s="7"/>
      <c r="B8" s="7"/>
      <c r="C8" s="7"/>
      <c r="D8" s="4"/>
      <c r="E8" s="8"/>
      <c r="F8" s="8"/>
      <c r="G8" s="8"/>
      <c r="H8" s="8"/>
      <c r="I8" s="7"/>
    </row>
    <row r="9" spans="1:9">
      <c r="A9" t="s">
        <v>516</v>
      </c>
      <c r="B9" s="10">
        <v>0.91</v>
      </c>
      <c r="D9" t="s">
        <v>517</v>
      </c>
    </row>
    <row r="10" customFormat="1" spans="1:9">
      <c r="A10" t="s">
        <v>518</v>
      </c>
      <c r="B10" s="11">
        <f>(1-B9)/(2.2*10^6)</f>
        <v>4.09090909090909e-8</v>
      </c>
      <c r="C10" t="s">
        <v>173</v>
      </c>
      <c r="D10" t="s">
        <v>519</v>
      </c>
    </row>
    <row r="11" spans="1:9">
      <c r="A11" t="s">
        <v>520</v>
      </c>
      <c r="B11" s="10">
        <v>0.95</v>
      </c>
      <c r="D11" t="s">
        <v>517</v>
      </c>
    </row>
    <row r="12" customFormat="1" spans="1:9">
      <c r="A12" t="s">
        <v>521</v>
      </c>
      <c r="B12" s="11">
        <f>(1-B11)/(2.2*10^6)</f>
        <v>2.27272727272727e-8</v>
      </c>
      <c r="C12" t="s">
        <v>173</v>
      </c>
      <c r="D12" t="s">
        <v>522</v>
      </c>
    </row>
    <row r="13" spans="1:9">
      <c r="A13" t="s">
        <v>523</v>
      </c>
      <c r="B13" s="10">
        <v>0.98</v>
      </c>
      <c r="D13" t="s">
        <v>517</v>
      </c>
    </row>
    <row r="14" spans="1:9">
      <c r="A14" t="s">
        <v>524</v>
      </c>
      <c r="B14" s="11">
        <f>(1-B13)/(2.2*10^6)</f>
        <v>9.0909090909091e-9</v>
      </c>
      <c r="C14" t="s">
        <v>173</v>
      </c>
      <c r="D14" t="s">
        <v>525</v>
      </c>
    </row>
    <row r="16" spans="1:9">
      <c r="A16" t="s">
        <v>526</v>
      </c>
      <c r="B16" s="10">
        <v>0.97</v>
      </c>
      <c r="D16" t="s">
        <v>527</v>
      </c>
    </row>
    <row r="17" spans="1:6">
      <c r="A17" t="s">
        <v>528</v>
      </c>
      <c r="B17" s="10">
        <v>0.98</v>
      </c>
      <c r="D17" t="s">
        <v>529</v>
      </c>
    </row>
    <row r="18" spans="1:6">
      <c r="A18" t="s">
        <v>530</v>
      </c>
      <c r="B18" s="10">
        <v>0.99</v>
      </c>
      <c r="D18" t="s">
        <v>531</v>
      </c>
    </row>
    <row r="19" spans="1:6">
      <c r="B19">
        <f>IF(((1-D_limit_min)/Constants!B12)&lt;Fsw,2,1)</f>
        <v>1</v>
      </c>
      <c r="D19" t="s">
        <v>532</v>
      </c>
    </row>
    <row r="20" spans="1:6">
      <c r="A20" t="s">
        <v>533</v>
      </c>
      <c r="B20" s="12">
        <f>CHOOSE(B19,D_limit_min,(1-Constants!B10*Fsw))</f>
        <v>0.97</v>
      </c>
      <c r="D20" t="s">
        <v>534</v>
      </c>
    </row>
    <row r="22" spans="1:6">
      <c r="A22" t="s">
        <v>535</v>
      </c>
      <c r="B22" s="10">
        <f>325*10^-9</f>
        <v>3.25e-7</v>
      </c>
      <c r="C22" t="s">
        <v>173</v>
      </c>
      <c r="D22" t="s">
        <v>536</v>
      </c>
    </row>
    <row r="23" customFormat="1" spans="1:6">
      <c r="B23" s="13"/>
    </row>
    <row r="24" ht="15.75" spans="1:6">
      <c r="A24" s="14" t="s">
        <v>537</v>
      </c>
      <c r="E24" t="s">
        <v>538</v>
      </c>
      <c r="F24" s="15">
        <f>'Design Converter'!H12*1000</f>
        <v>700000</v>
      </c>
    </row>
    <row r="25" spans="1:6">
      <c r="A25" t="s">
        <v>484</v>
      </c>
      <c r="B25" s="10">
        <f>0.00005-(0.00000000001*F24)</f>
        <v>4.3e-5</v>
      </c>
      <c r="C25" t="s">
        <v>12</v>
      </c>
      <c r="D25" t="s">
        <v>539</v>
      </c>
    </row>
    <row r="26" spans="1:6">
      <c r="A26" t="s">
        <v>482</v>
      </c>
      <c r="B26" s="10">
        <v>2000</v>
      </c>
      <c r="C26" s="16" t="s">
        <v>35</v>
      </c>
      <c r="D26" t="s">
        <v>540</v>
      </c>
    </row>
    <row r="27" spans="1:6">
      <c r="A27" t="s">
        <v>541</v>
      </c>
      <c r="B27" s="10">
        <f>0.156</f>
        <v>0.156</v>
      </c>
      <c r="C27" s="16" t="s">
        <v>7</v>
      </c>
      <c r="D27" t="s">
        <v>542</v>
      </c>
    </row>
    <row r="28" spans="1:6">
      <c r="A28" t="s">
        <v>543</v>
      </c>
      <c r="B28" s="10">
        <v>2000</v>
      </c>
      <c r="C28" s="16" t="s">
        <v>35</v>
      </c>
    </row>
    <row r="29" spans="1:6">
      <c r="A29" t="s">
        <v>486</v>
      </c>
      <c r="B29" s="10">
        <f>0.9</f>
        <v>0.9</v>
      </c>
      <c r="C29" t="s">
        <v>244</v>
      </c>
      <c r="D29" t="s">
        <v>544</v>
      </c>
    </row>
    <row r="30" spans="1:6">
      <c r="A30" t="s">
        <v>545</v>
      </c>
      <c r="B30" s="10">
        <v>1</v>
      </c>
      <c r="C30" t="s">
        <v>244</v>
      </c>
      <c r="D30" t="s">
        <v>546</v>
      </c>
    </row>
    <row r="32" customFormat="1" spans="1:6">
      <c r="A32" s="17" t="s">
        <v>438</v>
      </c>
    </row>
    <row r="33" customFormat="1" spans="1:7">
      <c r="A33" t="s">
        <v>547</v>
      </c>
      <c r="B33" s="10">
        <v>1.26</v>
      </c>
      <c r="C33" t="s">
        <v>7</v>
      </c>
      <c r="D33" t="s">
        <v>548</v>
      </c>
    </row>
    <row r="34" spans="1:7">
      <c r="A34" t="s">
        <v>549</v>
      </c>
      <c r="B34" s="10">
        <f>(800*10^-6)/1</f>
        <v>0.0008</v>
      </c>
      <c r="C34" t="s">
        <v>550</v>
      </c>
      <c r="D34" t="s">
        <v>551</v>
      </c>
    </row>
    <row r="36" spans="1:7">
      <c r="A36" s="17" t="s">
        <v>552</v>
      </c>
    </row>
    <row r="37" spans="1:7">
      <c r="A37" t="s">
        <v>553</v>
      </c>
      <c r="B37" s="10">
        <v>4</v>
      </c>
      <c r="C37" t="s">
        <v>283</v>
      </c>
    </row>
    <row r="39" spans="1:7">
      <c r="A39" s="17" t="s">
        <v>554</v>
      </c>
    </row>
    <row r="40" spans="1:7">
      <c r="A40" t="s">
        <v>555</v>
      </c>
      <c r="B40" s="10">
        <v>3.02</v>
      </c>
      <c r="C40" t="s">
        <v>7</v>
      </c>
      <c r="D40" t="s">
        <v>556</v>
      </c>
    </row>
    <row r="41" spans="1:7">
      <c r="A41" t="s">
        <v>557</v>
      </c>
      <c r="B41" s="10">
        <v>2.85</v>
      </c>
      <c r="C41" t="s">
        <v>7</v>
      </c>
      <c r="D41" t="s">
        <v>556</v>
      </c>
    </row>
    <row r="42" spans="1:7">
      <c r="A42" t="s">
        <v>558</v>
      </c>
      <c r="B42" s="10">
        <v>0.17</v>
      </c>
      <c r="C42" t="s">
        <v>7</v>
      </c>
      <c r="D42" t="s">
        <v>556</v>
      </c>
    </row>
    <row r="44" spans="1:7">
      <c r="A44" s="17" t="s">
        <v>559</v>
      </c>
    </row>
    <row r="45" spans="1:7">
      <c r="A45" t="s">
        <v>560</v>
      </c>
      <c r="B45" s="10">
        <v>7.2</v>
      </c>
      <c r="C45" t="s">
        <v>7</v>
      </c>
      <c r="D45" t="s">
        <v>561</v>
      </c>
    </row>
    <row r="47" spans="1:7">
      <c r="A47" s="17" t="s">
        <v>562</v>
      </c>
    </row>
    <row r="48" spans="1:7">
      <c r="A48" t="s">
        <v>563</v>
      </c>
      <c r="B48" s="10">
        <f>3.3*(10^-3)</f>
        <v>0.0033</v>
      </c>
      <c r="C48" t="s">
        <v>12</v>
      </c>
      <c r="D48" t="s">
        <v>564</v>
      </c>
      <c r="G48" t="s">
        <v>565</v>
      </c>
    </row>
    <row r="50" spans="1:4">
      <c r="A50" t="s">
        <v>566</v>
      </c>
    </row>
    <row r="51" spans="1:4">
      <c r="A51" t="s">
        <v>567</v>
      </c>
      <c r="B51" s="10">
        <v>2.97</v>
      </c>
      <c r="C51" t="s">
        <v>7</v>
      </c>
      <c r="D51" t="s">
        <v>568</v>
      </c>
    </row>
    <row r="52" spans="1:4">
      <c r="A52" t="s">
        <v>569</v>
      </c>
      <c r="B52" s="10">
        <v>40</v>
      </c>
      <c r="C52" t="s">
        <v>7</v>
      </c>
      <c r="D52" t="s">
        <v>570</v>
      </c>
    </row>
    <row r="53" spans="1:4">
      <c r="A53" t="s">
        <v>571</v>
      </c>
      <c r="B53" s="10">
        <v>40</v>
      </c>
      <c r="C53" t="s">
        <v>7</v>
      </c>
      <c r="D53" t="s">
        <v>572</v>
      </c>
    </row>
  </sheetData>
  <mergeCells count="2">
    <mergeCell ref="A1:I1"/>
    <mergeCell ref="E5:H5"/>
  </mergeCells>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B2:B3"/>
  <sheetViews>
    <sheetView zoomScale="70" zoomScaleNormal="70" topLeftCell="B1" workbookViewId="0">
      <selection activeCell="E3" sqref="E3"/>
    </sheetView>
  </sheetViews>
  <sheetFormatPr defaultColWidth="9" defaultRowHeight="15" outlineLevelRow="2" outlineLevelCol="1"/>
  <cols>
    <col min="3" max="3" width="144.857142857143" customWidth="1"/>
  </cols>
  <sheetData>
    <row r="2" spans="2:2">
      <c r="B2" t="str">
        <f>"Eff_vs_IOUT"</f>
        <v>Eff_vs_IOUT</v>
      </c>
    </row>
    <row r="3" ht="379.7" customHeight="1"/>
  </sheetData>
  <pageMargins left="0.7" right="0.7" top="0.75" bottom="0.75" header="0.3" footer="0.3"/>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2"/>
  <sheetViews>
    <sheetView workbookViewId="0">
      <selection activeCell="C2" sqref="C2"/>
    </sheetView>
  </sheetViews>
  <sheetFormatPr defaultColWidth="9" defaultRowHeight="15" outlineLevelRow="1"/>
  <cols>
    <col min="2" max="2" width="71.2857142857143" customWidth="1"/>
  </cols>
  <sheetData>
    <row r="2" ht="294.6" customHeight="1"/>
  </sheetData>
  <pageMargins left="0.7" right="0.7" top="0.75" bottom="0.75" header="0.3" footer="0.3"/>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2:D5"/>
  <sheetViews>
    <sheetView workbookViewId="0">
      <selection activeCell="B3" sqref="B3"/>
    </sheetView>
  </sheetViews>
  <sheetFormatPr defaultColWidth="9" defaultRowHeight="15" outlineLevelRow="4" outlineLevelCol="3"/>
  <sheetData>
    <row r="2" spans="1:4">
      <c r="A2" t="s">
        <v>573</v>
      </c>
    </row>
    <row r="3" spans="1:4">
      <c r="B3">
        <f>VIN_min</f>
        <v>3</v>
      </c>
    </row>
    <row r="4" spans="1:4">
      <c r="B4">
        <f>VIN_nom</f>
        <v>3.7</v>
      </c>
      <c r="D4">
        <v>2.5</v>
      </c>
    </row>
    <row r="5" spans="1:4">
      <c r="B5">
        <f>VIN_max</f>
        <v>12.6</v>
      </c>
    </row>
  </sheetData>
  <dataValidations count="3">
    <dataValidation type="list" allowBlank="1" showInputMessage="1" showErrorMessage="1" sqref="D4">
      <formula1>$B$3:$B$5</formula1>
    </dataValidation>
    <dataValidation type="decimal" operator="between" allowBlank="1" showInputMessage="1" showErrorMessage="1" sqref="F4">
      <formula1>B3</formula1>
      <formula2>B5</formula2>
    </dataValidation>
    <dataValidation type="list" showInputMessage="1" showErrorMessage="1" sqref="I15" showDropDown="1">
      <formula1>$B$3:$B$5</formula1>
    </dataValidation>
  </dataValidation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rangeList sheetStid="10" master="" otherUserPermission="visible"/>
  <rangeList sheetStid="2" master="" otherUserPermission="visible"/>
  <rangeList sheetStid="4" master="" otherUserPermission="visible"/>
  <rangeList sheetStid="5" master="" otherUserPermission="visible"/>
  <rangeList sheetStid="3" master="" otherUserPermission="visible"/>
  <rangeList sheetStid="6" master="" otherUserPermission="visible"/>
  <rangeList sheetStid="7" master="" otherUserPermission="visible"/>
  <rangeList sheetStid="8"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Company>Texas Instruments Incorporated</Company>
  <Application>Microsoft Excel</Application>
  <HeadingPairs>
    <vt:vector size="2" baseType="variant">
      <vt:variant>
        <vt:lpstr>工作表</vt:lpstr>
      </vt:variant>
      <vt:variant>
        <vt:i4>9</vt:i4>
      </vt:variant>
    </vt:vector>
  </HeadingPairs>
  <TitlesOfParts>
    <vt:vector size="9" baseType="lpstr">
      <vt:lpstr>Design Converter</vt:lpstr>
      <vt:lpstr>Licenses</vt:lpstr>
      <vt:lpstr>Variable_Management</vt:lpstr>
      <vt:lpstr>Eff_vs_IOUT</vt:lpstr>
      <vt:lpstr>Loop_Modeling</vt:lpstr>
      <vt:lpstr>Constants</vt:lpstr>
      <vt:lpstr>Plot_Management_Eff</vt:lpstr>
      <vt:lpstr>Plot_Management_Sch</vt:lpstr>
      <vt:lpstr>Lists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BMC-BCS</dc:creator>
  <cp:lastModifiedBy>User</cp:lastModifiedBy>
  <dcterms:created xsi:type="dcterms:W3CDTF">2018-06-26T09:13:00Z</dcterms:created>
  <cp:lastPrinted>2018-08-09T07:13:00Z</cp:lastPrinted>
  <dcterms:modified xsi:type="dcterms:W3CDTF">2026-10-03T21:34:25Z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FA8F5C428ACF4829BF6D84869630F810_13</vt:lpwstr>
  </property>
  <property fmtid="{D5CDD505-2E9C-101B-9397-08002B2CF9AE}" pid="3" name="KSOProductBuildVer">
    <vt:lpwstr>1045-12.1.0.28485</vt:lpwstr>
  </property>
  <property fmtid="{D5CDD505-2E9C-101B-9397-08002B2CF9AE}" pid="4" name="CalculationRule">
    <vt:i4>0</vt:i4>
  </property>
</Properties>
</file>